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Camila\Downloads\"/>
    </mc:Choice>
  </mc:AlternateContent>
  <bookViews>
    <workbookView showSheetTabs="0" xWindow="0" yWindow="0" windowWidth="28800" windowHeight="12315"/>
  </bookViews>
  <sheets>
    <sheet name="HOME SECTION" sheetId="5" r:id="rId1"/>
    <sheet name="Plan1" sheetId="4" r:id="rId2"/>
    <sheet name="Plan2" sheetId="3" r:id="rId3"/>
  </sheets>
  <externalReferences>
    <externalReference r:id="rId4"/>
  </externalReferences>
  <definedNames>
    <definedName name="solver_adj" localSheetId="0" hidden="1">'[1]SECTION 2'!$O$12</definedName>
    <definedName name="solver_adj" localSheetId="1" hidden="1">Plan2!$N$12</definedName>
    <definedName name="solver_adj" localSheetId="2" hidden="1">Plan2!$P$12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2</definedName>
    <definedName name="solver_drv" localSheetId="1" hidden="1">2</definedName>
    <definedName name="solver_drv" localSheetId="2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lhs1" localSheetId="2" hidden="1">Plan2!$L$12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'[1]SECTION 2'!$O$15</definedName>
    <definedName name="solver_opt" localSheetId="1" hidden="1">Plan2!$N$15</definedName>
    <definedName name="solver_opt" localSheetId="2" hidden="1">Plan2!$P$15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2</definedName>
    <definedName name="solver_rbv" localSheetId="1" hidden="1">2</definedName>
    <definedName name="solver_rbv" localSheetId="2" hidden="1">1</definedName>
    <definedName name="solver_rel1" localSheetId="2" hidden="1">3</definedName>
    <definedName name="solver_rhs1" localSheetId="2" hidden="1">0.1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2</definedName>
    <definedName name="solver_scl" localSheetId="1" hidden="1">2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3</definedName>
    <definedName name="solver_typ" localSheetId="1" hidden="1">3</definedName>
    <definedName name="solver_typ" localSheetId="2" hidden="1">3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4" l="1"/>
  <c r="I13" i="4" s="1"/>
  <c r="I11" i="4"/>
  <c r="I14" i="4"/>
  <c r="I15" i="4"/>
  <c r="E4" i="4"/>
  <c r="L13" i="3" l="1"/>
  <c r="P13" i="3"/>
  <c r="L4" i="3"/>
  <c r="M5" i="3"/>
  <c r="I5" i="4"/>
  <c r="D7" i="4" l="1"/>
  <c r="P6" i="5" l="1"/>
  <c r="O6" i="5"/>
  <c r="N6" i="5"/>
  <c r="P5" i="5"/>
  <c r="O5" i="5"/>
  <c r="N5" i="5"/>
  <c r="P4" i="5"/>
  <c r="O4" i="5"/>
  <c r="N4" i="5"/>
  <c r="G13" i="4" l="1"/>
  <c r="L5" i="3" l="1"/>
  <c r="J4" i="4"/>
  <c r="M4" i="3" s="1"/>
  <c r="N4" i="4" l="1"/>
  <c r="N5" i="4"/>
  <c r="N6" i="4"/>
  <c r="H4" i="4" l="1"/>
  <c r="P6" i="4" l="1"/>
  <c r="P5" i="4"/>
  <c r="P4" i="4"/>
  <c r="O6" i="4"/>
  <c r="O5" i="4"/>
  <c r="O4" i="4"/>
  <c r="F18" i="3"/>
  <c r="F17" i="3"/>
  <c r="F16" i="3"/>
  <c r="F15" i="3"/>
  <c r="F14" i="3"/>
  <c r="F13" i="3"/>
  <c r="F12" i="3"/>
  <c r="F11" i="3"/>
  <c r="F10" i="3"/>
  <c r="E5" i="4" s="1"/>
  <c r="I8" i="3" s="1"/>
  <c r="F9" i="3"/>
  <c r="F8" i="3"/>
  <c r="F7" i="3"/>
  <c r="F6" i="3"/>
  <c r="F5" i="3"/>
  <c r="E6" i="4" s="1"/>
  <c r="F4" i="3"/>
  <c r="H6" i="3" l="1"/>
  <c r="I6" i="3" s="1"/>
  <c r="H4" i="3"/>
  <c r="H5" i="3"/>
  <c r="I5" i="3" s="1"/>
  <c r="I4" i="3" l="1"/>
  <c r="D15" i="4"/>
  <c r="D16" i="4"/>
  <c r="I14" i="3"/>
  <c r="I11" i="3"/>
  <c r="I10" i="4" s="1"/>
  <c r="I16" i="3"/>
  <c r="N13" i="3" l="1"/>
  <c r="L14" i="3"/>
  <c r="L15" i="3" s="1"/>
  <c r="I13" i="3"/>
  <c r="I6" i="4" l="1"/>
  <c r="J6" i="4" s="1"/>
  <c r="M6" i="3" s="1"/>
  <c r="L6" i="3" l="1"/>
  <c r="H6" i="4" s="1"/>
  <c r="N6" i="3" s="1"/>
  <c r="M7" i="3"/>
  <c r="H5" i="4"/>
  <c r="O4" i="3" s="1"/>
  <c r="L7" i="3" l="1"/>
  <c r="O6" i="3"/>
  <c r="O5" i="3"/>
  <c r="N4" i="3"/>
  <c r="N5" i="3"/>
  <c r="P14" i="3" s="1"/>
  <c r="P15" i="3" s="1"/>
  <c r="O7" i="3" l="1"/>
  <c r="N14" i="3"/>
  <c r="N15" i="3" s="1"/>
  <c r="N7" i="3"/>
</calcChain>
</file>

<file path=xl/sharedStrings.xml><?xml version="1.0" encoding="utf-8"?>
<sst xmlns="http://schemas.openxmlformats.org/spreadsheetml/2006/main" count="101" uniqueCount="84">
  <si>
    <t>A</t>
  </si>
  <si>
    <t>B</t>
  </si>
  <si>
    <t>C</t>
  </si>
  <si>
    <t>θ</t>
  </si>
  <si>
    <t>N</t>
  </si>
  <si>
    <t>etilbenzeno</t>
  </si>
  <si>
    <t>θ (thḗta)</t>
  </si>
  <si>
    <t>A,B</t>
  </si>
  <si>
    <t>B,A</t>
  </si>
  <si>
    <t>B,C</t>
  </si>
  <si>
    <t>C,B</t>
  </si>
  <si>
    <t>A,C</t>
  </si>
  <si>
    <t>C,A</t>
  </si>
  <si>
    <t>A,A=B,B=C,C</t>
  </si>
  <si>
    <t>Key-light (A)</t>
  </si>
  <si>
    <t>toluene</t>
  </si>
  <si>
    <t>Key-heavy (B)</t>
  </si>
  <si>
    <t xml:space="preserve">isopropylbenzene </t>
  </si>
  <si>
    <t>Non-key (C)</t>
  </si>
  <si>
    <t>benzene</t>
  </si>
  <si>
    <t>Feed (F)</t>
  </si>
  <si>
    <t>Destilled (D)</t>
  </si>
  <si>
    <t>ENTRY CONDITIONS</t>
  </si>
  <si>
    <t>THERMODYNAMIC EQUILIBRIUM</t>
  </si>
  <si>
    <t>FLOWS
 (mol/h)</t>
  </si>
  <si>
    <t>RECOVERY FRACTIONS</t>
  </si>
  <si>
    <t>Component</t>
  </si>
  <si>
    <t>Composition</t>
  </si>
  <si>
    <t>TOP</t>
  </si>
  <si>
    <t>BOTTOM</t>
  </si>
  <si>
    <t>OTHER OPERATIONAL CONDITIONS PROVIDED</t>
  </si>
  <si>
    <t>Feed Flow (F) (mol/h)</t>
  </si>
  <si>
    <t>Pressure (mmHg)</t>
  </si>
  <si>
    <t>THERMODYNAMIC PARAMETERS OF THE FEED</t>
  </si>
  <si>
    <t>Feed bubble point</t>
  </si>
  <si>
    <t xml:space="preserve">Feed dew point </t>
  </si>
  <si>
    <t>COMPONENTS</t>
  </si>
  <si>
    <t>α</t>
  </si>
  <si>
    <t>CHOOSE COMPONENT</t>
  </si>
  <si>
    <t>water</t>
  </si>
  <si>
    <t>styrene</t>
  </si>
  <si>
    <t>ethanol</t>
  </si>
  <si>
    <t>isopentane</t>
  </si>
  <si>
    <t>methanol</t>
  </si>
  <si>
    <t>n-butane</t>
  </si>
  <si>
    <t>n-heptane</t>
  </si>
  <si>
    <t>n-hexane</t>
  </si>
  <si>
    <t>n-octane</t>
  </si>
  <si>
    <t>n-pentane</t>
  </si>
  <si>
    <t>p-xylene</t>
  </si>
  <si>
    <t>THERMODYNAMIC PARAMETERS</t>
  </si>
  <si>
    <t>OUTPUT FLOWS (mol/h)</t>
  </si>
  <si>
    <t>COMPOSITIONS</t>
  </si>
  <si>
    <t xml:space="preserve">Destillate </t>
  </si>
  <si>
    <t>Waste</t>
  </si>
  <si>
    <t>Σ</t>
  </si>
  <si>
    <t>Ki</t>
  </si>
  <si>
    <t>Approximate temp. (K)</t>
  </si>
  <si>
    <t>Boiling temperature (K)</t>
  </si>
  <si>
    <t>COLUMN VARIABLES</t>
  </si>
  <si>
    <t>Boiling temp. (K)</t>
  </si>
  <si>
    <t>Saturation press. (mmHg)</t>
  </si>
  <si>
    <t>LEFT</t>
  </si>
  <si>
    <t>RIGHT</t>
  </si>
  <si>
    <t>SOLVER FUNCTION</t>
  </si>
  <si>
    <t xml:space="preserve"> LEFT</t>
  </si>
  <si>
    <t>Error</t>
  </si>
  <si>
    <t xml:space="preserve">   C,B</t>
  </si>
  <si>
    <t xml:space="preserve">   A,C</t>
  </si>
  <si>
    <t xml:space="preserve">   C,A</t>
  </si>
  <si>
    <t xml:space="preserve">   B,C</t>
  </si>
  <si>
    <t xml:space="preserve">   B,A</t>
  </si>
  <si>
    <t xml:space="preserve">   A,B</t>
  </si>
  <si>
    <t>Feed condition (q)</t>
  </si>
  <si>
    <t>Operational reflux ratio (R)</t>
  </si>
  <si>
    <t>Number of theoretical trays (N)</t>
  </si>
  <si>
    <t>Waste (W)</t>
  </si>
  <si>
    <r>
      <t>Minimum number of trays (N</t>
    </r>
    <r>
      <rPr>
        <vertAlign val="subscript"/>
        <sz val="12"/>
        <color theme="1"/>
        <rFont val="Times New Roman"/>
        <family val="1"/>
      </rPr>
      <t>min</t>
    </r>
    <r>
      <rPr>
        <sz val="12"/>
        <color theme="1"/>
        <rFont val="Times New Roman"/>
        <family val="1"/>
      </rPr>
      <t>)</t>
    </r>
  </si>
  <si>
    <r>
      <t>Minimum reflux ratio (R</t>
    </r>
    <r>
      <rPr>
        <vertAlign val="subscript"/>
        <sz val="12"/>
        <color theme="1"/>
        <rFont val="Times New Roman"/>
        <family val="1"/>
      </rPr>
      <t>min</t>
    </r>
    <r>
      <rPr>
        <sz val="12"/>
        <color theme="1"/>
        <rFont val="Times New Roman"/>
        <family val="1"/>
      </rPr>
      <t>)</t>
    </r>
  </si>
  <si>
    <r>
      <t>Optimal feed tray location (N</t>
    </r>
    <r>
      <rPr>
        <vertAlign val="subscript"/>
        <sz val="12"/>
        <color theme="1"/>
        <rFont val="Times New Roman"/>
        <family val="1"/>
      </rPr>
      <t>f</t>
    </r>
    <r>
      <rPr>
        <sz val="12"/>
        <color theme="1"/>
        <rFont val="Times New Roman"/>
        <family val="1"/>
      </rPr>
      <t>)</t>
    </r>
  </si>
  <si>
    <r>
      <t>RELATIVE VOLATILITIES (</t>
    </r>
    <r>
      <rPr>
        <b/>
        <sz val="14"/>
        <rFont val="Times New Roman"/>
        <family val="1"/>
      </rPr>
      <t>α</t>
    </r>
    <r>
      <rPr>
        <b/>
        <sz val="12"/>
        <rFont val="Times New Roman"/>
        <family val="1"/>
      </rPr>
      <t>)</t>
    </r>
  </si>
  <si>
    <r>
      <t>X</t>
    </r>
    <r>
      <rPr>
        <vertAlign val="subscript"/>
        <sz val="12"/>
        <color theme="1"/>
        <rFont val="Times New Roman"/>
        <family val="1"/>
      </rPr>
      <t>d</t>
    </r>
  </si>
  <si>
    <r>
      <t>X</t>
    </r>
    <r>
      <rPr>
        <vertAlign val="subscript"/>
        <sz val="12"/>
        <color theme="1"/>
        <rFont val="Times New Roman"/>
        <family val="1"/>
      </rPr>
      <t>w</t>
    </r>
  </si>
  <si>
    <r>
      <t>N</t>
    </r>
    <r>
      <rPr>
        <b/>
        <vertAlign val="subscript"/>
        <sz val="12"/>
        <color theme="1"/>
        <rFont val="Times New Roman"/>
        <family val="1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</si>
</sst>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0000E+00"/>
    <numFmt numFmtId="166" formatCode="0.000000000"/>
    <numFmt numFmtId="167" formatCode=";;;"/>
    <numFmt numFmtId="168" formatCode="0.0000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b/>
      <sz val="14"/>
      <name val="Times New Roman"/>
      <family val="1"/>
    </font>
    <font>
      <b/>
      <vertAlign val="subscript"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AEBF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0" borderId="6" xfId="0" applyBorder="1"/>
    <xf numFmtId="1" fontId="0" fillId="2" borderId="6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166" fontId="0" fillId="2" borderId="6" xfId="0" applyNumberFormat="1" applyFill="1" applyBorder="1"/>
    <xf numFmtId="0" fontId="2" fillId="0" borderId="0" xfId="0" applyFont="1"/>
    <xf numFmtId="167" fontId="0" fillId="2" borderId="0" xfId="0" applyNumberFormat="1" applyFill="1" applyBorder="1" applyAlignment="1" applyProtection="1">
      <alignment horizontal="center"/>
      <protection locked="0" hidden="1"/>
    </xf>
    <xf numFmtId="167" fontId="0" fillId="2" borderId="0" xfId="0" applyNumberFormat="1" applyFill="1" applyBorder="1" applyAlignment="1" applyProtection="1">
      <alignment horizontal="center"/>
      <protection hidden="1"/>
    </xf>
    <xf numFmtId="0" fontId="0" fillId="2" borderId="8" xfId="0" applyFill="1" applyBorder="1" applyAlignment="1" applyProtection="1">
      <alignment horizontal="center"/>
    </xf>
    <xf numFmtId="0" fontId="0" fillId="0" borderId="0" xfId="0" applyProtection="1"/>
    <xf numFmtId="0" fontId="0" fillId="2" borderId="6" xfId="0" applyFill="1" applyBorder="1" applyAlignment="1" applyProtection="1">
      <alignment horizontal="center"/>
    </xf>
    <xf numFmtId="164" fontId="0" fillId="2" borderId="6" xfId="0" applyNumberFormat="1" applyFill="1" applyBorder="1" applyAlignment="1" applyProtection="1">
      <alignment horizontal="center"/>
    </xf>
    <xf numFmtId="2" fontId="0" fillId="2" borderId="6" xfId="0" applyNumberFormat="1" applyFill="1" applyBorder="1" applyAlignment="1" applyProtection="1">
      <alignment horizontal="center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2" fontId="2" fillId="4" borderId="3" xfId="0" applyNumberFormat="1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2" fontId="2" fillId="2" borderId="8" xfId="0" applyNumberFormat="1" applyFont="1" applyFill="1" applyBorder="1" applyAlignment="1" applyProtection="1">
      <alignment horizontal="center"/>
    </xf>
    <xf numFmtId="2" fontId="2" fillId="4" borderId="17" xfId="0" applyNumberFormat="1" applyFont="1" applyFill="1" applyBorder="1" applyAlignment="1" applyProtection="1">
      <alignment horizontal="center"/>
    </xf>
    <xf numFmtId="0" fontId="2" fillId="0" borderId="0" xfId="0" applyFont="1" applyProtection="1"/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4" borderId="28" xfId="0" applyNumberFormat="1" applyFont="1" applyFill="1" applyBorder="1" applyAlignment="1" applyProtection="1">
      <alignment horizontal="center"/>
    </xf>
    <xf numFmtId="2" fontId="2" fillId="4" borderId="33" xfId="0" applyNumberFormat="1" applyFont="1" applyFill="1" applyBorder="1" applyAlignment="1" applyProtection="1">
      <alignment horizontal="center"/>
    </xf>
    <xf numFmtId="168" fontId="2" fillId="4" borderId="35" xfId="0" applyNumberFormat="1" applyFont="1" applyFill="1" applyBorder="1" applyAlignment="1" applyProtection="1">
      <alignment horizontal="center"/>
    </xf>
    <xf numFmtId="168" fontId="2" fillId="4" borderId="36" xfId="0" applyNumberFormat="1" applyFont="1" applyFill="1" applyBorder="1" applyAlignment="1" applyProtection="1">
      <alignment horizontal="center"/>
    </xf>
    <xf numFmtId="2" fontId="2" fillId="4" borderId="41" xfId="0" applyNumberFormat="1" applyFont="1" applyFill="1" applyBorder="1" applyAlignment="1" applyProtection="1">
      <alignment horizontal="center"/>
    </xf>
    <xf numFmtId="2" fontId="2" fillId="4" borderId="42" xfId="0" applyNumberFormat="1" applyFont="1" applyFill="1" applyBorder="1" applyAlignment="1" applyProtection="1">
      <alignment horizontal="center"/>
    </xf>
    <xf numFmtId="0" fontId="3" fillId="0" borderId="0" xfId="0" applyFont="1"/>
    <xf numFmtId="2" fontId="2" fillId="4" borderId="25" xfId="0" applyNumberFormat="1" applyFont="1" applyFill="1" applyBorder="1" applyAlignment="1" applyProtection="1">
      <alignment horizontal="center"/>
    </xf>
    <xf numFmtId="0" fontId="4" fillId="3" borderId="16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4" fillId="6" borderId="22" xfId="0" applyFont="1" applyFill="1" applyBorder="1" applyAlignment="1" applyProtection="1">
      <alignment horizontal="center"/>
    </xf>
    <xf numFmtId="0" fontId="4" fillId="3" borderId="26" xfId="0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4" fillId="3" borderId="29" xfId="0" applyFont="1" applyFill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center"/>
      <protection locked="0"/>
    </xf>
    <xf numFmtId="0" fontId="4" fillId="3" borderId="30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  <protection locked="0"/>
    </xf>
    <xf numFmtId="2" fontId="4" fillId="2" borderId="14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/>
    </xf>
    <xf numFmtId="2" fontId="4" fillId="4" borderId="15" xfId="0" applyNumberFormat="1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164" fontId="4" fillId="2" borderId="8" xfId="0" applyNumberFormat="1" applyFont="1" applyFill="1" applyBorder="1" applyAlignment="1" applyProtection="1">
      <alignment horizontal="center"/>
    </xf>
    <xf numFmtId="0" fontId="4" fillId="6" borderId="25" xfId="0" applyFont="1" applyFill="1" applyBorder="1" applyAlignment="1" applyProtection="1">
      <alignment horizontal="center"/>
    </xf>
    <xf numFmtId="0" fontId="4" fillId="6" borderId="5" xfId="0" applyFont="1" applyFill="1" applyBorder="1" applyAlignment="1" applyProtection="1">
      <alignment horizontal="center"/>
    </xf>
    <xf numFmtId="0" fontId="8" fillId="5" borderId="48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4" fillId="3" borderId="50" xfId="0" applyFont="1" applyFill="1" applyBorder="1" applyAlignment="1" applyProtection="1">
      <alignment horizontal="center"/>
    </xf>
    <xf numFmtId="2" fontId="4" fillId="4" borderId="44" xfId="0" applyNumberFormat="1" applyFont="1" applyFill="1" applyBorder="1" applyAlignment="1" applyProtection="1">
      <alignment horizontal="center"/>
    </xf>
    <xf numFmtId="2" fontId="4" fillId="4" borderId="41" xfId="0" applyNumberFormat="1" applyFont="1" applyFill="1" applyBorder="1" applyAlignment="1" applyProtection="1">
      <alignment horizontal="center"/>
    </xf>
    <xf numFmtId="0" fontId="4" fillId="3" borderId="32" xfId="0" applyFont="1" applyFill="1" applyBorder="1" applyAlignment="1" applyProtection="1">
      <alignment horizontal="center"/>
    </xf>
    <xf numFmtId="2" fontId="4" fillId="4" borderId="42" xfId="0" applyNumberFormat="1" applyFont="1" applyFill="1" applyBorder="1" applyAlignment="1" applyProtection="1">
      <alignment horizontal="center"/>
    </xf>
    <xf numFmtId="0" fontId="4" fillId="0" borderId="0" xfId="0" applyFont="1" applyProtection="1"/>
    <xf numFmtId="0" fontId="4" fillId="0" borderId="0" xfId="0" applyFont="1"/>
    <xf numFmtId="0" fontId="4" fillId="6" borderId="26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/>
    </xf>
    <xf numFmtId="0" fontId="4" fillId="6" borderId="26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 vertical="center"/>
    </xf>
    <xf numFmtId="0" fontId="4" fillId="6" borderId="54" xfId="0" applyFont="1" applyFill="1" applyBorder="1" applyAlignment="1">
      <alignment horizontal="center" vertical="center"/>
    </xf>
    <xf numFmtId="0" fontId="4" fillId="6" borderId="44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4" borderId="29" xfId="0" applyNumberFormat="1" applyFont="1" applyFill="1" applyBorder="1" applyAlignment="1" applyProtection="1">
      <alignment horizontal="center"/>
    </xf>
    <xf numFmtId="164" fontId="4" fillId="4" borderId="41" xfId="0" applyNumberFormat="1" applyFont="1" applyFill="1" applyBorder="1" applyAlignment="1" applyProtection="1">
      <alignment horizontal="center"/>
    </xf>
    <xf numFmtId="0" fontId="4" fillId="2" borderId="7" xfId="0" applyFont="1" applyFill="1" applyBorder="1" applyAlignment="1"/>
    <xf numFmtId="0" fontId="8" fillId="3" borderId="45" xfId="0" applyFont="1" applyFill="1" applyBorder="1" applyAlignment="1">
      <alignment horizontal="center"/>
    </xf>
    <xf numFmtId="2" fontId="4" fillId="4" borderId="1" xfId="0" applyNumberFormat="1" applyFont="1" applyFill="1" applyBorder="1" applyAlignment="1" applyProtection="1">
      <alignment horizontal="center"/>
    </xf>
    <xf numFmtId="164" fontId="4" fillId="4" borderId="1" xfId="0" applyNumberFormat="1" applyFont="1" applyFill="1" applyBorder="1" applyAlignment="1" applyProtection="1">
      <alignment horizontal="center"/>
    </xf>
    <xf numFmtId="0" fontId="4" fillId="2" borderId="13" xfId="0" applyFont="1" applyFill="1" applyBorder="1" applyAlignment="1"/>
    <xf numFmtId="0" fontId="8" fillId="3" borderId="46" xfId="0" applyFont="1" applyFill="1" applyBorder="1" applyAlignment="1">
      <alignment horizontal="center"/>
    </xf>
    <xf numFmtId="2" fontId="4" fillId="4" borderId="30" xfId="0" applyNumberFormat="1" applyFont="1" applyFill="1" applyBorder="1" applyAlignment="1" applyProtection="1">
      <alignment horizontal="center"/>
    </xf>
    <xf numFmtId="164" fontId="4" fillId="4" borderId="42" xfId="0" applyNumberFormat="1" applyFont="1" applyFill="1" applyBorder="1" applyAlignment="1" applyProtection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/>
    <xf numFmtId="0" fontId="8" fillId="7" borderId="47" xfId="0" applyFont="1" applyFill="1" applyBorder="1" applyAlignment="1">
      <alignment horizontal="center"/>
    </xf>
    <xf numFmtId="2" fontId="8" fillId="4" borderId="30" xfId="0" applyNumberFormat="1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2" fontId="4" fillId="4" borderId="39" xfId="0" applyNumberFormat="1" applyFont="1" applyFill="1" applyBorder="1" applyAlignment="1" applyProtection="1">
      <alignment horizontal="center"/>
    </xf>
    <xf numFmtId="0" fontId="4" fillId="3" borderId="29" xfId="0" applyFont="1" applyFill="1" applyBorder="1" applyAlignment="1">
      <alignment horizontal="center"/>
    </xf>
    <xf numFmtId="2" fontId="4" fillId="2" borderId="41" xfId="0" applyNumberFormat="1" applyFont="1" applyFill="1" applyBorder="1" applyAlignment="1" applyProtection="1">
      <alignment horizontal="center"/>
    </xf>
    <xf numFmtId="0" fontId="8" fillId="6" borderId="45" xfId="0" applyFont="1" applyFill="1" applyBorder="1" applyAlignment="1">
      <alignment horizontal="center" vertical="center"/>
    </xf>
    <xf numFmtId="0" fontId="8" fillId="6" borderId="44" xfId="0" applyFont="1" applyFill="1" applyBorder="1" applyAlignment="1">
      <alignment horizontal="center" vertical="center"/>
    </xf>
    <xf numFmtId="0" fontId="4" fillId="7" borderId="29" xfId="0" applyFont="1" applyFill="1" applyBorder="1" applyAlignment="1" applyProtection="1">
      <alignment horizontal="center"/>
    </xf>
    <xf numFmtId="2" fontId="4" fillId="4" borderId="5" xfId="0" applyNumberFormat="1" applyFont="1" applyFill="1" applyBorder="1" applyAlignment="1" applyProtection="1">
      <alignment horizontal="center"/>
    </xf>
    <xf numFmtId="2" fontId="4" fillId="4" borderId="40" xfId="0" applyNumberFormat="1" applyFont="1" applyFill="1" applyBorder="1" applyAlignment="1" applyProtection="1">
      <alignment horizontal="center"/>
    </xf>
    <xf numFmtId="0" fontId="4" fillId="7" borderId="30" xfId="0" applyFont="1" applyFill="1" applyBorder="1" applyAlignment="1" applyProtection="1">
      <alignment horizontal="center"/>
    </xf>
    <xf numFmtId="2" fontId="4" fillId="4" borderId="34" xfId="0" applyNumberFormat="1" applyFont="1" applyFill="1" applyBorder="1" applyAlignment="1" applyProtection="1">
      <alignment horizontal="center"/>
    </xf>
    <xf numFmtId="2" fontId="4" fillId="2" borderId="7" xfId="0" applyNumberFormat="1" applyFont="1" applyFill="1" applyBorder="1" applyAlignment="1"/>
    <xf numFmtId="2" fontId="4" fillId="4" borderId="42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/>
    <xf numFmtId="0" fontId="7" fillId="3" borderId="30" xfId="0" applyFont="1" applyFill="1" applyBorder="1" applyAlignment="1">
      <alignment horizontal="center" wrapText="1"/>
    </xf>
    <xf numFmtId="0" fontId="4" fillId="3" borderId="34" xfId="0" applyFont="1" applyFill="1" applyBorder="1" applyAlignment="1">
      <alignment horizontal="center"/>
    </xf>
    <xf numFmtId="2" fontId="4" fillId="2" borderId="12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5" fillId="5" borderId="23" xfId="0" applyFont="1" applyFill="1" applyBorder="1" applyAlignment="1" applyProtection="1">
      <alignment horizontal="center"/>
    </xf>
    <xf numFmtId="0" fontId="5" fillId="5" borderId="38" xfId="0" applyFont="1" applyFill="1" applyBorder="1" applyAlignment="1" applyProtection="1">
      <alignment horizontal="center"/>
    </xf>
    <xf numFmtId="0" fontId="5" fillId="5" borderId="24" xfId="0" applyFont="1" applyFill="1" applyBorder="1" applyAlignment="1" applyProtection="1">
      <alignment horizontal="center"/>
    </xf>
    <xf numFmtId="0" fontId="4" fillId="3" borderId="50" xfId="0" applyFont="1" applyFill="1" applyBorder="1" applyAlignment="1" applyProtection="1">
      <alignment horizontal="center"/>
    </xf>
    <xf numFmtId="0" fontId="4" fillId="3" borderId="51" xfId="0" applyFont="1" applyFill="1" applyBorder="1" applyAlignment="1" applyProtection="1">
      <alignment horizontal="center"/>
    </xf>
    <xf numFmtId="0" fontId="4" fillId="3" borderId="32" xfId="0" applyFont="1" applyFill="1" applyBorder="1" applyAlignment="1" applyProtection="1">
      <alignment horizontal="center"/>
    </xf>
    <xf numFmtId="0" fontId="4" fillId="3" borderId="33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8" fillId="5" borderId="37" xfId="0" applyFont="1" applyFill="1" applyBorder="1" applyAlignment="1" applyProtection="1">
      <alignment horizontal="center"/>
    </xf>
    <xf numFmtId="0" fontId="8" fillId="5" borderId="38" xfId="0" applyFont="1" applyFill="1" applyBorder="1" applyAlignment="1" applyProtection="1">
      <alignment horizontal="center"/>
    </xf>
    <xf numFmtId="0" fontId="8" fillId="5" borderId="24" xfId="0" applyFont="1" applyFill="1" applyBorder="1" applyAlignment="1" applyProtection="1">
      <alignment horizontal="center"/>
    </xf>
    <xf numFmtId="0" fontId="4" fillId="3" borderId="27" xfId="0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/>
    </xf>
    <xf numFmtId="0" fontId="8" fillId="5" borderId="16" xfId="0" applyFont="1" applyFill="1" applyBorder="1" applyAlignment="1" applyProtection="1">
      <alignment horizontal="center"/>
    </xf>
    <xf numFmtId="0" fontId="8" fillId="5" borderId="3" xfId="0" applyFont="1" applyFill="1" applyBorder="1" applyAlignment="1" applyProtection="1">
      <alignment horizontal="center"/>
    </xf>
    <xf numFmtId="0" fontId="8" fillId="5" borderId="49" xfId="0" applyFont="1" applyFill="1" applyBorder="1" applyAlignment="1" applyProtection="1">
      <alignment horizontal="center"/>
    </xf>
    <xf numFmtId="0" fontId="4" fillId="6" borderId="37" xfId="0" applyFont="1" applyFill="1" applyBorder="1" applyAlignment="1" applyProtection="1">
      <alignment horizontal="center"/>
    </xf>
    <xf numFmtId="0" fontId="4" fillId="6" borderId="48" xfId="0" applyFont="1" applyFill="1" applyBorder="1" applyAlignment="1" applyProtection="1">
      <alignment horizontal="center"/>
    </xf>
    <xf numFmtId="0" fontId="5" fillId="5" borderId="18" xfId="0" applyFont="1" applyFill="1" applyBorder="1" applyAlignment="1" applyProtection="1">
      <alignment horizontal="center" vertical="center"/>
    </xf>
    <xf numFmtId="0" fontId="6" fillId="5" borderId="19" xfId="0" applyFont="1" applyFill="1" applyBorder="1" applyAlignment="1" applyProtection="1">
      <alignment horizontal="center" vertical="center"/>
    </xf>
    <xf numFmtId="0" fontId="6" fillId="5" borderId="20" xfId="0" applyFont="1" applyFill="1" applyBorder="1" applyAlignment="1" applyProtection="1">
      <alignment horizontal="center" vertical="center"/>
    </xf>
    <xf numFmtId="0" fontId="5" fillId="5" borderId="37" xfId="0" applyFont="1" applyFill="1" applyBorder="1" applyAlignment="1" applyProtection="1">
      <alignment horizontal="center" vertical="center"/>
    </xf>
    <xf numFmtId="0" fontId="5" fillId="5" borderId="24" xfId="0" applyFont="1" applyFill="1" applyBorder="1" applyAlignment="1" applyProtection="1">
      <alignment horizontal="center" vertical="center"/>
    </xf>
    <xf numFmtId="0" fontId="5" fillId="5" borderId="53" xfId="0" applyFont="1" applyFill="1" applyBorder="1" applyAlignment="1" applyProtection="1">
      <alignment horizontal="center" vertical="center" wrapText="1"/>
    </xf>
    <xf numFmtId="0" fontId="5" fillId="5" borderId="55" xfId="0" applyFont="1" applyFill="1" applyBorder="1" applyAlignment="1" applyProtection="1">
      <alignment horizontal="center" vertical="center"/>
    </xf>
    <xf numFmtId="0" fontId="5" fillId="5" borderId="59" xfId="0" applyFont="1" applyFill="1" applyBorder="1" applyAlignment="1" applyProtection="1">
      <alignment horizontal="center" vertical="center"/>
    </xf>
    <xf numFmtId="0" fontId="5" fillId="5" borderId="56" xfId="0" applyFont="1" applyFill="1" applyBorder="1" applyAlignment="1" applyProtection="1">
      <alignment horizontal="center" vertical="center"/>
    </xf>
    <xf numFmtId="2" fontId="4" fillId="4" borderId="32" xfId="0" applyNumberFormat="1" applyFont="1" applyFill="1" applyBorder="1" applyAlignment="1" applyProtection="1">
      <alignment horizontal="center"/>
    </xf>
    <xf numFmtId="2" fontId="4" fillId="4" borderId="58" xfId="0" applyNumberFormat="1" applyFont="1" applyFill="1" applyBorder="1" applyAlignment="1" applyProtection="1">
      <alignment horizontal="center"/>
    </xf>
    <xf numFmtId="0" fontId="4" fillId="6" borderId="23" xfId="0" applyFont="1" applyFill="1" applyBorder="1" applyAlignment="1" applyProtection="1">
      <alignment horizontal="center"/>
    </xf>
    <xf numFmtId="0" fontId="4" fillId="6" borderId="24" xfId="0" applyFont="1" applyFill="1" applyBorder="1" applyAlignment="1" applyProtection="1">
      <alignment horizontal="center"/>
    </xf>
    <xf numFmtId="2" fontId="4" fillId="4" borderId="50" xfId="0" applyNumberFormat="1" applyFont="1" applyFill="1" applyBorder="1" applyAlignment="1" applyProtection="1">
      <alignment horizontal="center"/>
    </xf>
    <xf numFmtId="2" fontId="4" fillId="4" borderId="57" xfId="0" applyNumberFormat="1" applyFont="1" applyFill="1" applyBorder="1" applyAlignment="1" applyProtection="1">
      <alignment horizontal="center"/>
    </xf>
    <xf numFmtId="2" fontId="4" fillId="4" borderId="16" xfId="0" applyNumberFormat="1" applyFont="1" applyFill="1" applyBorder="1" applyAlignment="1" applyProtection="1">
      <alignment horizontal="center"/>
    </xf>
    <xf numFmtId="2" fontId="4" fillId="4" borderId="3" xfId="0" applyNumberFormat="1" applyFont="1" applyFill="1" applyBorder="1" applyAlignment="1" applyProtection="1">
      <alignment horizontal="center"/>
    </xf>
    <xf numFmtId="0" fontId="5" fillId="5" borderId="37" xfId="0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microsoft.com/office/2006/relationships/vbaProject" Target="vbaProject.bin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Plan1!A1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lan2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HOME SECTION'!A1"/><Relationship Id="rId1" Type="http://schemas.openxmlformats.org/officeDocument/2006/relationships/hyperlink" Target="#Plan1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416092</xdr:colOff>
      <xdr:row>23</xdr:row>
      <xdr:rowOff>122135</xdr:rowOff>
    </xdr:from>
    <xdr:to>
      <xdr:col>7</xdr:col>
      <xdr:colOff>882817</xdr:colOff>
      <xdr:row>27</xdr:row>
      <xdr:rowOff>157413</xdr:rowOff>
    </xdr:to>
    <xdr:sp macro="[1]!MacroL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6883066" y="4533714"/>
          <a:ext cx="1659856" cy="797278"/>
        </a:xfrm>
        <a:prstGeom prst="roundRect">
          <a:avLst/>
        </a:prstGeom>
        <a:solidFill>
          <a:srgbClr val="00B0F0"/>
        </a:solidFill>
        <a:ln w="1905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0" i="1">
              <a:solidFill>
                <a:sysClr val="windowText" lastClr="000000"/>
              </a:solidFill>
              <a:latin typeface="Algerian" panose="04020705040A02060702" pitchFamily="82" charset="0"/>
            </a:rPr>
            <a:t>START</a:t>
          </a:r>
        </a:p>
      </xdr:txBody>
    </xdr:sp>
    <xdr:clientData/>
  </xdr:twoCellAnchor>
  <xdr:twoCellAnchor>
    <xdr:from>
      <xdr:col>11</xdr:col>
      <xdr:colOff>14288</xdr:colOff>
      <xdr:row>10</xdr:row>
      <xdr:rowOff>100012</xdr:rowOff>
    </xdr:from>
    <xdr:to>
      <xdr:col>11</xdr:col>
      <xdr:colOff>60007</xdr:colOff>
      <xdr:row>10</xdr:row>
      <xdr:rowOff>145731</xdr:rowOff>
    </xdr:to>
    <xdr:sp macro="[1]!Macro12" textlink="">
      <xdr:nvSpPr>
        <xdr:cNvPr id="3" name="Fluxograma: Processo 2">
          <a:extLst>
            <a:ext uri="{FF2B5EF4-FFF2-40B4-BE49-F238E27FC236}">
              <a16:creationId xmlns="" xmlns:a16="http://schemas.microsoft.com/office/drawing/2014/main" id="{A01FD3D9-E72B-4740-98FA-624A44D8E2F3}"/>
            </a:ext>
          </a:extLst>
        </xdr:cNvPr>
        <xdr:cNvSpPr/>
      </xdr:nvSpPr>
      <xdr:spPr>
        <a:xfrm flipH="1">
          <a:off x="11158538" y="2033587"/>
          <a:ext cx="45719" cy="45719"/>
        </a:xfrm>
        <a:prstGeom prst="flowChartProcess">
          <a:avLst/>
        </a:prstGeom>
        <a:solidFill>
          <a:schemeClr val="bg1"/>
        </a:solidFill>
        <a:ln>
          <a:solidFill>
            <a:schemeClr val="bg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SOLVER</a:t>
          </a:r>
        </a:p>
      </xdr:txBody>
    </xdr:sp>
    <xdr:clientData/>
  </xdr:twoCellAnchor>
  <xdr:twoCellAnchor>
    <xdr:from>
      <xdr:col>2</xdr:col>
      <xdr:colOff>381000</xdr:colOff>
      <xdr:row>4</xdr:row>
      <xdr:rowOff>85161</xdr:rowOff>
    </xdr:from>
    <xdr:to>
      <xdr:col>14</xdr:col>
      <xdr:colOff>409575</xdr:colOff>
      <xdr:row>20</xdr:row>
      <xdr:rowOff>113297</xdr:rowOff>
    </xdr:to>
    <xdr:sp macro="" textlink="">
      <xdr:nvSpPr>
        <xdr:cNvPr id="4" name="Retângulo 3"/>
        <xdr:cNvSpPr/>
      </xdr:nvSpPr>
      <xdr:spPr>
        <a:xfrm>
          <a:off x="1828800" y="875736"/>
          <a:ext cx="10982325" cy="307613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2800"/>
        </a:p>
        <a:p>
          <a:pPr algn="ctr"/>
          <a:r>
            <a:rPr lang="pt-BR" sz="4000" b="1" u="sng">
              <a:solidFill>
                <a:sysClr val="windowText" lastClr="000000"/>
              </a:solidFill>
              <a:latin typeface="Algerian" panose="04020705040A02060702" pitchFamily="82" charset="0"/>
            </a:rPr>
            <a:t>EXCEL AS AN OPTIMIZATION TOOL APPLIED TO THE SIZING OF MULTICOMPONENT DISTILLATION COLUMNS</a:t>
          </a:r>
        </a:p>
      </xdr:txBody>
    </xdr:sp>
    <xdr:clientData/>
  </xdr:twoCellAnchor>
  <xdr:twoCellAnchor editAs="oneCell">
    <xdr:from>
      <xdr:col>15</xdr:col>
      <xdr:colOff>180974</xdr:colOff>
      <xdr:row>2</xdr:row>
      <xdr:rowOff>142875</xdr:rowOff>
    </xdr:from>
    <xdr:to>
      <xdr:col>22</xdr:col>
      <xdr:colOff>323849</xdr:colOff>
      <xdr:row>36</xdr:row>
      <xdr:rowOff>76961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92124" y="523875"/>
          <a:ext cx="4410075" cy="6439661"/>
        </a:xfrm>
        <a:prstGeom prst="rect">
          <a:avLst/>
        </a:prstGeom>
      </xdr:spPr>
    </xdr:pic>
    <xdr:clientData/>
  </xdr:twoCellAnchor>
  <xdr:twoCellAnchor editAs="oneCell">
    <xdr:from>
      <xdr:col>0</xdr:col>
      <xdr:colOff>172828</xdr:colOff>
      <xdr:row>31</xdr:row>
      <xdr:rowOff>159570</xdr:rowOff>
    </xdr:from>
    <xdr:to>
      <xdr:col>1</xdr:col>
      <xdr:colOff>818070</xdr:colOff>
      <xdr:row>36</xdr:row>
      <xdr:rowOff>130568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62910">
          <a:off x="172828" y="6093645"/>
          <a:ext cx="911942" cy="923498"/>
        </a:xfrm>
        <a:prstGeom prst="rect">
          <a:avLst/>
        </a:prstGeom>
      </xdr:spPr>
    </xdr:pic>
    <xdr:clientData/>
  </xdr:twoCellAnchor>
  <xdr:twoCellAnchor editAs="oneCell">
    <xdr:from>
      <xdr:col>0</xdr:col>
      <xdr:colOff>208014</xdr:colOff>
      <xdr:row>1</xdr:row>
      <xdr:rowOff>164075</xdr:rowOff>
    </xdr:from>
    <xdr:to>
      <xdr:col>1</xdr:col>
      <xdr:colOff>696555</xdr:colOff>
      <xdr:row>5</xdr:row>
      <xdr:rowOff>99861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014" y="354575"/>
          <a:ext cx="755241" cy="7263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85724</xdr:rowOff>
    </xdr:from>
    <xdr:to>
      <xdr:col>22</xdr:col>
      <xdr:colOff>466725</xdr:colOff>
      <xdr:row>38</xdr:row>
      <xdr:rowOff>38099</xdr:rowOff>
    </xdr:to>
    <xdr:sp macro="" textlink="">
      <xdr:nvSpPr>
        <xdr:cNvPr id="8" name="Retângulo 7"/>
        <xdr:cNvSpPr/>
      </xdr:nvSpPr>
      <xdr:spPr>
        <a:xfrm>
          <a:off x="0" y="6972299"/>
          <a:ext cx="17745075" cy="333375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600" b="1" i="1">
              <a:solidFill>
                <a:sysClr val="windowText" lastClr="000000"/>
              </a:solidFill>
            </a:rPr>
            <a:t>DEVELOPED by: (Luan Jonas de Souza Ribeiro and collaborators,</a:t>
          </a:r>
          <a:r>
            <a:rPr lang="pt-BR" sz="1600" b="1" i="1" baseline="0">
              <a:solidFill>
                <a:sysClr val="windowText" lastClr="000000"/>
              </a:solidFill>
            </a:rPr>
            <a:t> </a:t>
          </a:r>
          <a:r>
            <a:rPr lang="pt-BR" sz="1600" b="1" i="1">
              <a:solidFill>
                <a:sysClr val="windowText" lastClr="000000"/>
              </a:solidFill>
            </a:rPr>
            <a:t>2024)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22</xdr:col>
      <xdr:colOff>495300</xdr:colOff>
      <xdr:row>1</xdr:row>
      <xdr:rowOff>123824</xdr:rowOff>
    </xdr:to>
    <xdr:sp macro="" textlink="">
      <xdr:nvSpPr>
        <xdr:cNvPr id="9" name="Retângulo 8"/>
        <xdr:cNvSpPr/>
      </xdr:nvSpPr>
      <xdr:spPr>
        <a:xfrm>
          <a:off x="0" y="0"/>
          <a:ext cx="17773650" cy="314324"/>
        </a:xfrm>
        <a:prstGeom prst="rect">
          <a:avLst/>
        </a:prstGeom>
        <a:solidFill>
          <a:srgbClr val="00B0F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9525</xdr:colOff>
      <xdr:row>0</xdr:row>
      <xdr:rowOff>47625</xdr:rowOff>
    </xdr:from>
    <xdr:to>
      <xdr:col>0</xdr:col>
      <xdr:colOff>190500</xdr:colOff>
      <xdr:row>38</xdr:row>
      <xdr:rowOff>28575</xdr:rowOff>
    </xdr:to>
    <xdr:sp macro="" textlink="">
      <xdr:nvSpPr>
        <xdr:cNvPr id="10" name="Retângulo 9"/>
        <xdr:cNvSpPr/>
      </xdr:nvSpPr>
      <xdr:spPr>
        <a:xfrm>
          <a:off x="9525" y="47625"/>
          <a:ext cx="180975" cy="7248525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22</xdr:col>
      <xdr:colOff>333375</xdr:colOff>
      <xdr:row>0</xdr:row>
      <xdr:rowOff>0</xdr:rowOff>
    </xdr:from>
    <xdr:to>
      <xdr:col>22</xdr:col>
      <xdr:colOff>523876</xdr:colOff>
      <xdr:row>38</xdr:row>
      <xdr:rowOff>38099</xdr:rowOff>
    </xdr:to>
    <xdr:sp macro="" textlink="">
      <xdr:nvSpPr>
        <xdr:cNvPr id="11" name="Retângulo 10"/>
        <xdr:cNvSpPr/>
      </xdr:nvSpPr>
      <xdr:spPr>
        <a:xfrm>
          <a:off x="17611725" y="0"/>
          <a:ext cx="190501" cy="7305674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500064</xdr:colOff>
      <xdr:row>18</xdr:row>
      <xdr:rowOff>147637</xdr:rowOff>
    </xdr:from>
    <xdr:to>
      <xdr:col>5</xdr:col>
      <xdr:colOff>481014</xdr:colOff>
      <xdr:row>21</xdr:row>
      <xdr:rowOff>119061</xdr:rowOff>
    </xdr:to>
    <xdr:sp macro="[0]!MacroL" textlink="">
      <xdr:nvSpPr>
        <xdr:cNvPr id="4" name="Retângulo de cantos arredondados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4271964" y="3662362"/>
          <a:ext cx="962025" cy="542924"/>
        </a:xfrm>
        <a:prstGeom prst="roundRect">
          <a:avLst/>
        </a:prstGeom>
        <a:solidFill>
          <a:srgbClr val="92D050"/>
        </a:solidFill>
        <a:ln>
          <a:solidFill>
            <a:sysClr val="windowText" lastClr="000000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lgerian" panose="04020705040A02060702" pitchFamily="82" charset="0"/>
            </a:rPr>
            <a:t>CLEAR</a:t>
          </a:r>
          <a:r>
            <a:rPr lang="pt-BR" sz="1200" b="0" baseline="0">
              <a:latin typeface="Algerian" panose="04020705040A02060702" pitchFamily="82" charset="0"/>
            </a:rPr>
            <a:t> DATA</a:t>
          </a:r>
          <a:endParaRPr lang="pt-BR" sz="1200" b="0">
            <a:latin typeface="Algerian" panose="04020705040A02060702" pitchFamily="82" charset="0"/>
          </a:endParaRPr>
        </a:p>
      </xdr:txBody>
    </xdr:sp>
    <xdr:clientData/>
  </xdr:twoCellAnchor>
  <xdr:twoCellAnchor>
    <xdr:from>
      <xdr:col>9</xdr:col>
      <xdr:colOff>309563</xdr:colOff>
      <xdr:row>10</xdr:row>
      <xdr:rowOff>100012</xdr:rowOff>
    </xdr:from>
    <xdr:to>
      <xdr:col>11</xdr:col>
      <xdr:colOff>14289</xdr:colOff>
      <xdr:row>13</xdr:row>
      <xdr:rowOff>42861</xdr:rowOff>
    </xdr:to>
    <xdr:sp macro="[0]!Macro12" textlink="">
      <xdr:nvSpPr>
        <xdr:cNvPr id="5" name="Retângulo de cantos arredondados 4">
          <a:extLst>
            <a:ext uri="{FF2B5EF4-FFF2-40B4-BE49-F238E27FC236}">
              <a16:creationId xmlns="" xmlns:a16="http://schemas.microsoft.com/office/drawing/2014/main" id="{A01FD3D9-E72B-4740-98FA-624A44D8E2F3}"/>
            </a:ext>
          </a:extLst>
        </xdr:cNvPr>
        <xdr:cNvSpPr/>
      </xdr:nvSpPr>
      <xdr:spPr>
        <a:xfrm>
          <a:off x="10078641" y="2189559"/>
          <a:ext cx="990601" cy="567927"/>
        </a:xfrm>
        <a:prstGeom prst="roundRect">
          <a:avLst/>
        </a:prstGeom>
        <a:solidFill>
          <a:srgbClr val="00B050"/>
        </a:solidFill>
        <a:ln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>
              <a:solidFill>
                <a:schemeClr val="bg1"/>
              </a:solidFill>
              <a:latin typeface="Algerian" panose="04020705040A02060702" pitchFamily="82" charset="0"/>
            </a:rPr>
            <a:t>SOLVER</a:t>
          </a:r>
        </a:p>
      </xdr:txBody>
    </xdr:sp>
    <xdr:clientData/>
  </xdr:twoCellAnchor>
  <xdr:twoCellAnchor>
    <xdr:from>
      <xdr:col>9</xdr:col>
      <xdr:colOff>377288</xdr:colOff>
      <xdr:row>19</xdr:row>
      <xdr:rowOff>49480</xdr:rowOff>
    </xdr:from>
    <xdr:to>
      <xdr:col>11</xdr:col>
      <xdr:colOff>18555</xdr:colOff>
      <xdr:row>22</xdr:row>
      <xdr:rowOff>24740</xdr:rowOff>
    </xdr:to>
    <xdr:sp macro="" textlink="">
      <xdr:nvSpPr>
        <xdr:cNvPr id="2" name="Seta para a direita 1">
          <a:hlinkClick xmlns:r="http://schemas.openxmlformats.org/officeDocument/2006/relationships" r:id="rId1"/>
        </xdr:cNvPr>
        <xdr:cNvSpPr/>
      </xdr:nvSpPr>
      <xdr:spPr>
        <a:xfrm>
          <a:off x="10143506" y="3958441"/>
          <a:ext cx="927760" cy="550471"/>
        </a:xfrm>
        <a:prstGeom prst="rightArrow">
          <a:avLst/>
        </a:prstGeom>
        <a:solidFill>
          <a:srgbClr val="00B0F0"/>
        </a:solidFill>
        <a:ln>
          <a:prstDash val="soli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000" b="1">
              <a:solidFill>
                <a:schemeClr val="tx1"/>
              </a:solidFill>
              <a:latin typeface="Algerian" panose="04020705040A02060702" pitchFamily="82" charset="0"/>
            </a:rPr>
            <a:t>SECTION</a:t>
          </a:r>
          <a:r>
            <a:rPr lang="pt-BR" sz="1000" b="1" baseline="0">
              <a:solidFill>
                <a:schemeClr val="tx1"/>
              </a:solidFill>
              <a:latin typeface="Algerian" panose="04020705040A02060702" pitchFamily="82" charset="0"/>
            </a:rPr>
            <a:t> 2</a:t>
          </a:r>
          <a:r>
            <a:rPr lang="pt-BR" sz="1100" b="1" baseline="0">
              <a:solidFill>
                <a:schemeClr val="tx1"/>
              </a:solidFill>
              <a:latin typeface="Algerian" panose="04020705040A02060702" pitchFamily="82" charset="0"/>
            </a:rPr>
            <a:t> </a:t>
          </a:r>
          <a:endParaRPr lang="pt-BR" sz="1100" b="1">
            <a:solidFill>
              <a:schemeClr val="tx1"/>
            </a:solidFill>
            <a:latin typeface="Algerian" panose="04020705040A02060702" pitchFamily="82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133067</xdr:colOff>
      <xdr:row>20</xdr:row>
      <xdr:rowOff>147077</xdr:rowOff>
    </xdr:from>
    <xdr:to>
      <xdr:col>1</xdr:col>
      <xdr:colOff>984787</xdr:colOff>
      <xdr:row>24</xdr:row>
      <xdr:rowOff>24216</xdr:rowOff>
    </xdr:to>
    <xdr:sp macro="" textlink="">
      <xdr:nvSpPr>
        <xdr:cNvPr id="3" name="Seta para a direita 2">
          <a:hlinkClick xmlns:r="http://schemas.openxmlformats.org/officeDocument/2006/relationships" r:id="rId1"/>
        </xdr:cNvPr>
        <xdr:cNvSpPr/>
      </xdr:nvSpPr>
      <xdr:spPr>
        <a:xfrm flipH="1">
          <a:off x="133067" y="4417183"/>
          <a:ext cx="1069665" cy="652054"/>
        </a:xfrm>
        <a:prstGeom prst="rightArrow">
          <a:avLst/>
        </a:prstGeom>
        <a:solidFill>
          <a:srgbClr val="00B0F0"/>
        </a:solidFill>
        <a:ln>
          <a:solidFill>
            <a:sysClr val="windowText" lastClr="000000"/>
          </a:solidFill>
          <a:prstDash val="soli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050" b="1">
              <a:solidFill>
                <a:schemeClr val="tx1"/>
              </a:solidFill>
              <a:latin typeface="Algerian" panose="04020705040A02060702" pitchFamily="82" charset="0"/>
            </a:rPr>
            <a:t>SECTION 1</a:t>
          </a:r>
          <a:r>
            <a:rPr lang="pt-BR" sz="1050" b="1" baseline="0">
              <a:solidFill>
                <a:schemeClr val="tx1"/>
              </a:solidFill>
              <a:latin typeface="Algerian" panose="04020705040A02060702" pitchFamily="82" charset="0"/>
            </a:rPr>
            <a:t> </a:t>
          </a:r>
          <a:r>
            <a:rPr lang="pt-BR" sz="1200" b="1" baseline="0">
              <a:solidFill>
                <a:schemeClr val="tx1"/>
              </a:solidFill>
              <a:latin typeface="Algerian" panose="04020705040A02060702" pitchFamily="82" charset="0"/>
            </a:rPr>
            <a:t> </a:t>
          </a:r>
          <a:endParaRPr lang="pt-BR" sz="1200" b="1">
            <a:solidFill>
              <a:schemeClr val="tx1"/>
            </a:solidFill>
            <a:latin typeface="Algerian" panose="04020705040A02060702" pitchFamily="82" charset="0"/>
          </a:endParaRPr>
        </a:p>
      </xdr:txBody>
    </xdr:sp>
    <xdr:clientData/>
  </xdr:twoCellAnchor>
  <xdr:twoCellAnchor>
    <xdr:from>
      <xdr:col>14</xdr:col>
      <xdr:colOff>266376</xdr:colOff>
      <xdr:row>20</xdr:row>
      <xdr:rowOff>96863</xdr:rowOff>
    </xdr:from>
    <xdr:to>
      <xdr:col>16</xdr:col>
      <xdr:colOff>56503</xdr:colOff>
      <xdr:row>22</xdr:row>
      <xdr:rowOff>169512</xdr:rowOff>
    </xdr:to>
    <xdr:sp macro="" textlink="">
      <xdr:nvSpPr>
        <xdr:cNvPr id="2" name="Retângulo de cantos arredondados 1">
          <a:hlinkClick xmlns:r="http://schemas.openxmlformats.org/officeDocument/2006/relationships" r:id="rId2"/>
        </xdr:cNvPr>
        <xdr:cNvSpPr/>
      </xdr:nvSpPr>
      <xdr:spPr>
        <a:xfrm>
          <a:off x="10776164" y="4366969"/>
          <a:ext cx="1138157" cy="460107"/>
        </a:xfrm>
        <a:prstGeom prst="roundRect">
          <a:avLst/>
        </a:prstGeom>
        <a:solidFill>
          <a:srgbClr val="FF0000"/>
        </a:solidFill>
        <a:ln>
          <a:solidFill>
            <a:sysClr val="windowText" lastClr="000000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600">
              <a:latin typeface="Algerian" panose="04020705040A02060702" pitchFamily="82" charset="0"/>
            </a:rPr>
            <a:t>RESTART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EQU_Luan%20Jonas%20de%20Souza%20Ribei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 1"/>
      <sheetName val="SECTION 2"/>
      <sheetName val="HOME SECTION"/>
      <sheetName val="_EQU_Luan Jonas de Souza Ribeir"/>
    </sheetNames>
    <definedNames>
      <definedName name="Macro12"/>
      <definedName name="MacroL"/>
    </definedNames>
    <sheetDataSet>
      <sheetData sheetId="0"/>
      <sheetData sheetId="1">
        <row r="4">
          <cell r="B4" t="str">
            <v>water</v>
          </cell>
          <cell r="C4">
            <v>18.303599999999999</v>
          </cell>
          <cell r="D4">
            <v>3816.44</v>
          </cell>
          <cell r="E4">
            <v>-46.13</v>
          </cell>
        </row>
        <row r="5">
          <cell r="B5" t="str">
            <v>benzene</v>
          </cell>
          <cell r="C5">
            <v>15.9008</v>
          </cell>
          <cell r="D5">
            <v>2788.51</v>
          </cell>
          <cell r="E5">
            <v>-52.36</v>
          </cell>
        </row>
        <row r="6">
          <cell r="B6" t="str">
            <v>styrene</v>
          </cell>
          <cell r="C6">
            <v>16.019300000000001</v>
          </cell>
          <cell r="D6">
            <v>3328.57</v>
          </cell>
          <cell r="E6">
            <v>-63.72</v>
          </cell>
        </row>
        <row r="7">
          <cell r="B7" t="str">
            <v>ethanol</v>
          </cell>
          <cell r="C7">
            <v>18.911899999999999</v>
          </cell>
          <cell r="D7">
            <v>3803.98</v>
          </cell>
          <cell r="E7">
            <v>-41.68</v>
          </cell>
        </row>
        <row r="8">
          <cell r="B8" t="str">
            <v>etilbenzeno</v>
          </cell>
          <cell r="C8">
            <v>16.019500000000001</v>
          </cell>
          <cell r="D8">
            <v>3279.47</v>
          </cell>
          <cell r="E8">
            <v>-59.95</v>
          </cell>
        </row>
        <row r="9">
          <cell r="B9" t="str">
            <v>isopentane</v>
          </cell>
          <cell r="C9">
            <v>15.633800000000001</v>
          </cell>
          <cell r="D9">
            <v>2348.67</v>
          </cell>
          <cell r="E9">
            <v>-40.049999999999997</v>
          </cell>
        </row>
        <row r="10">
          <cell r="B10" t="str">
            <v xml:space="preserve">isopropylbenzene </v>
          </cell>
          <cell r="C10">
            <v>15.972200000000001</v>
          </cell>
          <cell r="D10">
            <v>3363.6</v>
          </cell>
          <cell r="E10">
            <v>-63.37</v>
          </cell>
        </row>
        <row r="11">
          <cell r="B11" t="str">
            <v>methanol</v>
          </cell>
          <cell r="C11">
            <v>18.587499999999999</v>
          </cell>
          <cell r="D11">
            <v>3626.55</v>
          </cell>
          <cell r="E11">
            <v>-34.29</v>
          </cell>
        </row>
        <row r="12">
          <cell r="B12" t="str">
            <v>n-butane</v>
          </cell>
          <cell r="C12">
            <v>15.6782</v>
          </cell>
          <cell r="D12">
            <v>2154.9</v>
          </cell>
          <cell r="E12">
            <v>-34.42</v>
          </cell>
          <cell r="O12">
            <v>0</v>
          </cell>
        </row>
        <row r="13">
          <cell r="B13" t="str">
            <v>n-heptane</v>
          </cell>
          <cell r="C13">
            <v>15.873699999999999</v>
          </cell>
          <cell r="D13">
            <v>2911.32</v>
          </cell>
          <cell r="E13">
            <v>-56.51</v>
          </cell>
        </row>
        <row r="14">
          <cell r="B14" t="str">
            <v>n-hexane</v>
          </cell>
          <cell r="C14">
            <v>15.836600000000001</v>
          </cell>
          <cell r="D14">
            <v>2697.55</v>
          </cell>
          <cell r="E14">
            <v>-48.78</v>
          </cell>
        </row>
        <row r="15">
          <cell r="B15" t="str">
            <v>n-octane</v>
          </cell>
          <cell r="C15">
            <v>15.942600000000001</v>
          </cell>
          <cell r="D15">
            <v>3120.29</v>
          </cell>
          <cell r="E15">
            <v>-63.63</v>
          </cell>
          <cell r="O15" t="str">
            <v/>
          </cell>
        </row>
        <row r="16">
          <cell r="B16" t="str">
            <v>n-pentane</v>
          </cell>
          <cell r="C16">
            <v>15.833299999999999</v>
          </cell>
          <cell r="D16">
            <v>2477.0700000000002</v>
          </cell>
          <cell r="E16">
            <v>-39.94</v>
          </cell>
        </row>
        <row r="17">
          <cell r="B17" t="str">
            <v>toluene</v>
          </cell>
          <cell r="C17">
            <v>16.0137</v>
          </cell>
          <cell r="D17">
            <v>3096.52</v>
          </cell>
          <cell r="E17">
            <v>-53.67</v>
          </cell>
        </row>
        <row r="18">
          <cell r="B18" t="str">
            <v>p-xylene</v>
          </cell>
          <cell r="C18">
            <v>16.096299999999999</v>
          </cell>
          <cell r="D18">
            <v>3346.65</v>
          </cell>
          <cell r="E18">
            <v>-57.84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R8"/>
  <sheetViews>
    <sheetView showGridLines="0" tabSelected="1" zoomScale="91" zoomScaleNormal="91" workbookViewId="0"/>
  </sheetViews>
  <sheetFormatPr defaultRowHeight="15" x14ac:dyDescent="0.25"/>
  <cols>
    <col min="1" max="1" width="4" customWidth="1"/>
    <col min="2" max="2" width="17.7109375" customWidth="1"/>
    <col min="3" max="3" width="26.5703125" customWidth="1"/>
    <col min="4" max="4" width="15.85546875" customWidth="1"/>
    <col min="5" max="5" width="15" customWidth="1"/>
    <col min="6" max="6" width="17.7109375" customWidth="1"/>
    <col min="7" max="7" width="17.85546875" customWidth="1"/>
    <col min="8" max="8" width="18.5703125" customWidth="1"/>
    <col min="9" max="9" width="14.5703125" customWidth="1"/>
    <col min="10" max="10" width="13.7109375" customWidth="1"/>
    <col min="11" max="11" width="5.5703125" customWidth="1"/>
    <col min="12" max="12" width="5.140625" customWidth="1"/>
    <col min="13" max="13" width="5" customWidth="1"/>
    <col min="14" max="14" width="8.7109375" customWidth="1"/>
    <col min="15" max="15" width="9.140625" customWidth="1"/>
  </cols>
  <sheetData>
    <row r="1" spans="1:18" x14ac:dyDescent="0.25">
      <c r="I1" s="2"/>
      <c r="J1" s="2"/>
      <c r="K1" s="2"/>
    </row>
    <row r="2" spans="1:18" x14ac:dyDescent="0.25">
      <c r="O2" s="1"/>
      <c r="P2" s="1"/>
      <c r="Q2" s="1"/>
      <c r="R2" s="1"/>
    </row>
    <row r="3" spans="1:18" ht="17.25" customHeight="1" x14ac:dyDescent="0.25">
      <c r="N3" s="10" t="s">
        <v>0</v>
      </c>
      <c r="O3" s="11" t="s">
        <v>1</v>
      </c>
      <c r="P3" s="11" t="s">
        <v>2</v>
      </c>
      <c r="Q3" s="1"/>
      <c r="R3" s="1"/>
    </row>
    <row r="4" spans="1:18" ht="15" customHeight="1" x14ac:dyDescent="0.25">
      <c r="N4" s="11" t="str">
        <f>IFERROR(VLOOKUP('HOME SECTION'!C4,'[1]SECTION 2'!B4:C18,2,0),"")</f>
        <v/>
      </c>
      <c r="O4" s="11" t="str">
        <f>IFERROR(VLOOKUP(C4,'[1]SECTION 2'!B4:D18,3,0),"")</f>
        <v/>
      </c>
      <c r="P4" s="11" t="str">
        <f>IFERROR(VLOOKUP(C4,'[1]SECTION 2'!B4:E18,4,0),"")</f>
        <v/>
      </c>
      <c r="Q4" s="1"/>
      <c r="R4" s="1"/>
    </row>
    <row r="5" spans="1:18" ht="15" customHeight="1" x14ac:dyDescent="0.25">
      <c r="N5" s="11" t="str">
        <f>IFERROR(VLOOKUP('HOME SECTION'!C5,'[1]SECTION 2'!B4:C19,2,0),"")</f>
        <v/>
      </c>
      <c r="O5" s="11" t="str">
        <f>IFERROR(VLOOKUP(C5,'[1]SECTION 2'!B4:D19,3,0),"")</f>
        <v/>
      </c>
      <c r="P5" s="11" t="str">
        <f>IFERROR(VLOOKUP(C5,'[1]SECTION 2'!B4:E19,4,0),"")</f>
        <v/>
      </c>
      <c r="Q5" s="1"/>
      <c r="R5" s="1"/>
    </row>
    <row r="6" spans="1:18" ht="15" customHeight="1" x14ac:dyDescent="0.25">
      <c r="N6" s="11" t="str">
        <f>IFERROR(VLOOKUP('HOME SECTION'!C6,'[1]SECTION 2'!B4:C20,2,0),"")</f>
        <v/>
      </c>
      <c r="O6" s="11" t="str">
        <f>IFERROR(VLOOKUP(C6,'[1]SECTION 2'!B4:D20,3,0),"")</f>
        <v/>
      </c>
      <c r="P6" s="11" t="str">
        <f>IFERROR(VLOOKUP(C6,'[1]SECTION 2'!B4:E20,4,0),"")</f>
        <v/>
      </c>
      <c r="Q6" s="1"/>
      <c r="R6" s="1"/>
    </row>
    <row r="7" spans="1:18" x14ac:dyDescent="0.25">
      <c r="O7" s="1"/>
      <c r="P7" s="1"/>
      <c r="Q7" s="1"/>
      <c r="R7" s="1"/>
    </row>
    <row r="8" spans="1:18" x14ac:dyDescent="0.25">
      <c r="A8" s="3"/>
      <c r="O8" s="5"/>
      <c r="P8" s="5"/>
      <c r="Q8" s="5"/>
      <c r="R8" s="5"/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'[1]SECTION 2'!#REF!</xm:f>
          </x14:formula1>
          <xm:sqref>B8 C7</xm:sqref>
        </x14:dataValidation>
        <x14:dataValidation type="list" allowBlank="1" showInputMessage="1" showErrorMessage="1">
          <x14:formula1>
            <xm:f>'[1]SECTION 2'!#REF!</xm:f>
          </x14:formula1>
          <xm:sqref>C4:C6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R22"/>
  <sheetViews>
    <sheetView showGridLines="0" zoomScale="118" zoomScaleNormal="118" workbookViewId="0"/>
  </sheetViews>
  <sheetFormatPr defaultRowHeight="15" x14ac:dyDescent="0.25"/>
  <cols>
    <col min="1" max="1" width="4" customWidth="1"/>
    <col min="2" max="2" width="17.7109375" customWidth="1"/>
    <col min="3" max="3" width="26.5703125" customWidth="1"/>
    <col min="4" max="4" width="15.85546875" customWidth="1"/>
    <col min="5" max="5" width="20.140625" customWidth="1"/>
    <col min="6" max="6" width="26.85546875" customWidth="1"/>
    <col min="7" max="7" width="17.85546875" customWidth="1"/>
    <col min="8" max="8" width="16.5703125" customWidth="1"/>
    <col min="9" max="9" width="14.5703125" customWidth="1"/>
    <col min="10" max="10" width="13.7109375" customWidth="1"/>
    <col min="11" max="11" width="5.5703125" customWidth="1"/>
    <col min="12" max="12" width="5.140625" customWidth="1"/>
    <col min="13" max="13" width="5" customWidth="1"/>
    <col min="14" max="14" width="8.7109375" customWidth="1"/>
    <col min="15" max="15" width="9.140625" customWidth="1"/>
  </cols>
  <sheetData>
    <row r="1" spans="1:18" ht="15.75" thickBot="1" x14ac:dyDescent="0.3">
      <c r="I1" s="2"/>
      <c r="J1" s="2"/>
      <c r="K1" s="2"/>
    </row>
    <row r="2" spans="1:18" ht="15.75" customHeight="1" thickBot="1" x14ac:dyDescent="0.3">
      <c r="B2" s="126" t="s">
        <v>22</v>
      </c>
      <c r="C2" s="127"/>
      <c r="D2" s="128"/>
      <c r="E2" s="126" t="s">
        <v>23</v>
      </c>
      <c r="F2" s="127"/>
      <c r="G2" s="131" t="s">
        <v>24</v>
      </c>
      <c r="H2" s="132"/>
      <c r="I2" s="129" t="s">
        <v>25</v>
      </c>
      <c r="J2" s="130"/>
      <c r="O2" s="1"/>
      <c r="P2" s="1"/>
      <c r="Q2" s="1"/>
      <c r="R2" s="1"/>
    </row>
    <row r="3" spans="1:18" ht="17.25" customHeight="1" thickBot="1" x14ac:dyDescent="0.3">
      <c r="B3" s="124" t="s">
        <v>26</v>
      </c>
      <c r="C3" s="125"/>
      <c r="D3" s="34" t="s">
        <v>27</v>
      </c>
      <c r="E3" s="137" t="s">
        <v>58</v>
      </c>
      <c r="F3" s="138"/>
      <c r="G3" s="133"/>
      <c r="H3" s="134"/>
      <c r="I3" s="48" t="s">
        <v>28</v>
      </c>
      <c r="J3" s="49" t="s">
        <v>29</v>
      </c>
      <c r="N3" s="10" t="s">
        <v>0</v>
      </c>
      <c r="O3" s="11" t="s">
        <v>1</v>
      </c>
      <c r="P3" s="11" t="s">
        <v>2</v>
      </c>
      <c r="Q3" s="1"/>
      <c r="R3" s="1"/>
    </row>
    <row r="4" spans="1:18" ht="15" customHeight="1" thickBot="1" x14ac:dyDescent="0.3">
      <c r="B4" s="35" t="s">
        <v>14</v>
      </c>
      <c r="C4" s="36" t="s">
        <v>38</v>
      </c>
      <c r="D4" s="37"/>
      <c r="E4" s="139" t="str">
        <f>IFERROR(VLOOKUP(C4,Plan2!B4:F18,5,0),"")</f>
        <v/>
      </c>
      <c r="F4" s="140"/>
      <c r="G4" s="33" t="s">
        <v>20</v>
      </c>
      <c r="H4" s="31" t="str">
        <f>IF(D10="","",D10)</f>
        <v/>
      </c>
      <c r="I4" s="17"/>
      <c r="J4" s="24" t="str">
        <f>IF(I4="","",1-I4)</f>
        <v/>
      </c>
      <c r="N4" s="11" t="str">
        <f>IFERROR(VLOOKUP(Plan1!C4,Plan2!B4:C18,2,0),"")</f>
        <v/>
      </c>
      <c r="O4" s="11" t="str">
        <f>IFERROR(VLOOKUP(C4,Plan2!B4:D18,3,0),"")</f>
        <v/>
      </c>
      <c r="P4" s="11" t="str">
        <f>IFERROR(VLOOKUP(C4,Plan2!B4:E18,4,0),"")</f>
        <v/>
      </c>
      <c r="Q4" s="1"/>
      <c r="R4" s="1"/>
    </row>
    <row r="5" spans="1:18" ht="15" customHeight="1" thickBot="1" x14ac:dyDescent="0.3">
      <c r="B5" s="38" t="s">
        <v>16</v>
      </c>
      <c r="C5" s="39" t="s">
        <v>38</v>
      </c>
      <c r="D5" s="37"/>
      <c r="E5" s="141" t="str">
        <f>IFERROR(VLOOKUP(C5,Plan2!B4:F19,5,0),"")</f>
        <v/>
      </c>
      <c r="F5" s="142"/>
      <c r="G5" s="33" t="s">
        <v>76</v>
      </c>
      <c r="H5" s="18" t="str">
        <f>IFERROR(Plan2!M4+Plan2!M5+Plan2!M6,"")</f>
        <v/>
      </c>
      <c r="I5" s="21" t="str">
        <f>IF(J5="","",1-J5)</f>
        <v/>
      </c>
      <c r="J5" s="17"/>
      <c r="N5" s="11" t="str">
        <f>IFERROR(VLOOKUP(Plan1!C5,Plan2!B4:C19,2,0),"")</f>
        <v/>
      </c>
      <c r="O5" s="11" t="str">
        <f>IFERROR(VLOOKUP(C5,Plan2!B4:D19,3,0),"")</f>
        <v/>
      </c>
      <c r="P5" s="11" t="str">
        <f>IFERROR(VLOOKUP(C5,Plan2!B4:E19,4,0),"")</f>
        <v/>
      </c>
      <c r="Q5" s="1"/>
      <c r="R5" s="1"/>
    </row>
    <row r="6" spans="1:18" ht="15" customHeight="1" thickBot="1" x14ac:dyDescent="0.3">
      <c r="B6" s="40" t="s">
        <v>18</v>
      </c>
      <c r="C6" s="41" t="s">
        <v>38</v>
      </c>
      <c r="D6" s="42"/>
      <c r="E6" s="135" t="str">
        <f>IFERROR(VLOOKUP(C6,Plan2!B4:F20,5,0),"")</f>
        <v/>
      </c>
      <c r="F6" s="136"/>
      <c r="G6" s="33" t="s">
        <v>21</v>
      </c>
      <c r="H6" s="25" t="str">
        <f>IFERROR(Plan2!L4+Plan2!L5+Plan2!L6,"")</f>
        <v/>
      </c>
      <c r="I6" s="26" t="str">
        <f>IFERROR(((Plan2!I14)^Plan1!I10)/((Plan1!J5/(1-Plan1!J5))+(Plan2!I14)^Plan1!I10),"")</f>
        <v/>
      </c>
      <c r="J6" s="27" t="str">
        <f>IFERROR(1-I6,"")</f>
        <v/>
      </c>
      <c r="N6" s="11" t="str">
        <f>IFERROR(VLOOKUP(Plan1!C6,Plan2!B4:C20,2,0),"")</f>
        <v/>
      </c>
      <c r="O6" s="11" t="str">
        <f>IFERROR(VLOOKUP(C6,Plan2!B4:D20,3,0),"")</f>
        <v/>
      </c>
      <c r="P6" s="11" t="str">
        <f>IFERROR(VLOOKUP(C6,Plan2!B4:E20,4,0),"")</f>
        <v/>
      </c>
      <c r="Q6" s="1"/>
      <c r="R6" s="1"/>
    </row>
    <row r="7" spans="1:18" ht="16.5" thickBot="1" x14ac:dyDescent="0.3">
      <c r="B7" s="43"/>
      <c r="C7" s="44"/>
      <c r="D7" s="45" t="str">
        <f>IF(D4="","",IF(SUM(D4:D6)&gt;1,"Dados incorretos",SUM(D4:D6)))</f>
        <v/>
      </c>
      <c r="E7" s="46"/>
      <c r="F7" s="47"/>
      <c r="G7" s="20"/>
      <c r="H7" s="19"/>
      <c r="I7" s="20"/>
      <c r="J7" s="22"/>
      <c r="O7" s="1"/>
      <c r="P7" s="1"/>
      <c r="Q7" s="1"/>
      <c r="R7" s="1"/>
    </row>
    <row r="8" spans="1:18" ht="15.75" thickBot="1" x14ac:dyDescent="0.3">
      <c r="A8" s="3"/>
      <c r="B8" s="14"/>
      <c r="C8" s="14"/>
      <c r="D8" s="12"/>
      <c r="E8" s="15"/>
      <c r="F8" s="16"/>
      <c r="G8" s="14"/>
      <c r="H8" s="16"/>
      <c r="I8" s="13"/>
      <c r="J8" s="13"/>
      <c r="O8" s="5"/>
      <c r="P8" s="5"/>
      <c r="Q8" s="5"/>
      <c r="R8" s="5"/>
    </row>
    <row r="9" spans="1:18" ht="21" thickBot="1" x14ac:dyDescent="0.35">
      <c r="B9" s="116" t="s">
        <v>30</v>
      </c>
      <c r="C9" s="117"/>
      <c r="D9" s="118"/>
      <c r="E9" s="50" t="s">
        <v>36</v>
      </c>
      <c r="F9" s="51" t="s">
        <v>37</v>
      </c>
      <c r="G9" s="108" t="s">
        <v>59</v>
      </c>
      <c r="H9" s="109"/>
      <c r="I9" s="110"/>
      <c r="J9" s="13"/>
    </row>
    <row r="10" spans="1:18" ht="19.5" thickBot="1" x14ac:dyDescent="0.4">
      <c r="B10" s="119" t="s">
        <v>31</v>
      </c>
      <c r="C10" s="120"/>
      <c r="D10" s="17"/>
      <c r="E10" s="52" t="s">
        <v>7</v>
      </c>
      <c r="F10" s="42"/>
      <c r="G10" s="111" t="s">
        <v>77</v>
      </c>
      <c r="H10" s="112"/>
      <c r="I10" s="53" t="str">
        <f>IFERROR((LN((Plan1!I4/(1-Plan1!I4))/(1-Plan1!J5)/Plan1!J5)/(LN(Plan2!I11))),"")</f>
        <v/>
      </c>
      <c r="J10" s="13"/>
    </row>
    <row r="11" spans="1:18" ht="16.5" thickBot="1" x14ac:dyDescent="0.3">
      <c r="B11" s="106" t="s">
        <v>32</v>
      </c>
      <c r="C11" s="115"/>
      <c r="D11" s="17"/>
      <c r="E11" s="32" t="s">
        <v>8</v>
      </c>
      <c r="F11" s="42"/>
      <c r="G11" s="106" t="s">
        <v>6</v>
      </c>
      <c r="H11" s="107"/>
      <c r="I11" s="54" t="str">
        <f>IF(Plan2!L12="","",Plan2!L12)</f>
        <v/>
      </c>
      <c r="J11" s="13"/>
    </row>
    <row r="12" spans="1:18" ht="19.5" thickBot="1" x14ac:dyDescent="0.4">
      <c r="B12" s="106" t="s">
        <v>73</v>
      </c>
      <c r="C12" s="115"/>
      <c r="D12" s="23"/>
      <c r="E12" s="32" t="s">
        <v>9</v>
      </c>
      <c r="F12" s="42"/>
      <c r="G12" s="106" t="s">
        <v>78</v>
      </c>
      <c r="H12" s="107"/>
      <c r="I12" s="54" t="str">
        <f>IF(I11="","",IFERROR(((Plan2!I11*Plan2!N4)/(Plan2!I11-Plan1!I11))+((Plan2!I17*Plan2!N5)/(Plan2!I17-Plan1!I11))+((Plan2!I14*Plan2!N6)/(Plan2!I14-Plan1!I11))-1,""))</f>
        <v/>
      </c>
      <c r="J12" s="13"/>
    </row>
    <row r="13" spans="1:18" ht="16.5" thickBot="1" x14ac:dyDescent="0.3">
      <c r="B13" s="106" t="s">
        <v>74</v>
      </c>
      <c r="C13" s="115"/>
      <c r="D13" s="17"/>
      <c r="E13" s="32" t="s">
        <v>10</v>
      </c>
      <c r="F13" s="42"/>
      <c r="G13" s="106" t="str">
        <f>B13</f>
        <v>Operational reflux ratio (R)</v>
      </c>
      <c r="H13" s="107"/>
      <c r="I13" s="54" t="str">
        <f>IFERROR(IF(D13&gt;0,D13,1.5*I12),"")</f>
        <v/>
      </c>
      <c r="J13" s="13"/>
    </row>
    <row r="14" spans="1:18" ht="16.5" thickBot="1" x14ac:dyDescent="0.3">
      <c r="B14" s="121" t="s">
        <v>33</v>
      </c>
      <c r="C14" s="122"/>
      <c r="D14" s="123"/>
      <c r="E14" s="32" t="s">
        <v>11</v>
      </c>
      <c r="F14" s="42"/>
      <c r="G14" s="106" t="s">
        <v>75</v>
      </c>
      <c r="H14" s="107"/>
      <c r="I14" s="54" t="str">
        <f>IF(Plan2!N12="","",Plan2!N12)</f>
        <v/>
      </c>
      <c r="J14" s="13"/>
    </row>
    <row r="15" spans="1:18" ht="19.5" thickBot="1" x14ac:dyDescent="0.4">
      <c r="B15" s="106" t="s">
        <v>34</v>
      </c>
      <c r="C15" s="107"/>
      <c r="D15" s="28" t="str">
        <f>IFERROR(Plan2!H4/Plan1!D4+Plan2!H5/Plan1!D5+Plan2!H6/Plan1!D6,"")</f>
        <v/>
      </c>
      <c r="E15" s="55" t="s">
        <v>12</v>
      </c>
      <c r="F15" s="42"/>
      <c r="G15" s="106" t="s">
        <v>79</v>
      </c>
      <c r="H15" s="107"/>
      <c r="I15" s="56" t="str">
        <f>IF(Plan2!P12="","",Plan2!P12)</f>
        <v/>
      </c>
      <c r="J15" s="13"/>
    </row>
    <row r="16" spans="1:18" ht="16.5" thickBot="1" x14ac:dyDescent="0.3">
      <c r="B16" s="113" t="s">
        <v>35</v>
      </c>
      <c r="C16" s="114"/>
      <c r="D16" s="29" t="str">
        <f>IFERROR(Plan2!H4*Plan1!D4+Plan2!H5*Plan1!D5+Plan2!H6*Plan1!D6,"")</f>
        <v/>
      </c>
      <c r="E16" s="57"/>
      <c r="F16" s="57"/>
      <c r="G16" s="57"/>
      <c r="H16" s="57"/>
      <c r="I16" s="57"/>
      <c r="J16" s="13"/>
    </row>
    <row r="17" spans="2:10" x14ac:dyDescent="0.25">
      <c r="B17" s="13"/>
      <c r="C17" s="13"/>
      <c r="D17" s="13"/>
      <c r="E17" s="13"/>
      <c r="F17" s="13"/>
      <c r="G17" s="13"/>
      <c r="H17" s="13"/>
      <c r="I17" s="13"/>
      <c r="J17" s="13"/>
    </row>
    <row r="18" spans="2:10" x14ac:dyDescent="0.25">
      <c r="D18" s="13"/>
    </row>
    <row r="19" spans="2:10" x14ac:dyDescent="0.25">
      <c r="B19" s="13"/>
      <c r="C19" s="13"/>
      <c r="D19" s="13"/>
    </row>
    <row r="20" spans="2:10" x14ac:dyDescent="0.25">
      <c r="B20" s="105"/>
      <c r="C20" s="105"/>
      <c r="D20" s="13"/>
    </row>
    <row r="21" spans="2:10" x14ac:dyDescent="0.25">
      <c r="B21" s="13"/>
      <c r="C21" s="13"/>
      <c r="D21" s="13"/>
    </row>
    <row r="22" spans="2:10" x14ac:dyDescent="0.25">
      <c r="C22" s="30"/>
    </row>
  </sheetData>
  <mergeCells count="25">
    <mergeCell ref="B3:C3"/>
    <mergeCell ref="B2:D2"/>
    <mergeCell ref="I2:J2"/>
    <mergeCell ref="G2:H3"/>
    <mergeCell ref="G14:H14"/>
    <mergeCell ref="E6:F6"/>
    <mergeCell ref="E2:F2"/>
    <mergeCell ref="E3:F3"/>
    <mergeCell ref="E4:F4"/>
    <mergeCell ref="E5:F5"/>
    <mergeCell ref="B20:C20"/>
    <mergeCell ref="G15:H15"/>
    <mergeCell ref="G9:I9"/>
    <mergeCell ref="G10:H10"/>
    <mergeCell ref="G11:H11"/>
    <mergeCell ref="G12:H12"/>
    <mergeCell ref="G13:H13"/>
    <mergeCell ref="B16:C16"/>
    <mergeCell ref="B12:C12"/>
    <mergeCell ref="B13:C13"/>
    <mergeCell ref="B15:C15"/>
    <mergeCell ref="B9:D9"/>
    <mergeCell ref="B10:C10"/>
    <mergeCell ref="B11:C11"/>
    <mergeCell ref="B14:D14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Plan2!$B$3:$B$18</xm:f>
          </x14:formula1>
          <xm:sqref>C6</xm:sqref>
        </x14:dataValidation>
        <x14:dataValidation type="list" allowBlank="1" showInputMessage="1" showErrorMessage="1">
          <x14:formula1>
            <xm:f>Plan2!$B$4:$B$18</xm:f>
          </x14:formula1>
          <xm:sqref>B8 C7</xm:sqref>
        </x14:dataValidation>
        <x14:dataValidation type="list" allowBlank="1" showInputMessage="1" showErrorMessage="1">
          <x14:formula1>
            <xm:f>Plan2!$B$3:$B$18</xm:f>
          </x14:formula1>
          <xm:sqref>C4 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B1:R22"/>
  <sheetViews>
    <sheetView showGridLines="0" zoomScale="124" zoomScaleNormal="124" workbookViewId="0"/>
  </sheetViews>
  <sheetFormatPr defaultRowHeight="15" x14ac:dyDescent="0.25"/>
  <cols>
    <col min="1" max="1" width="3.28515625" customWidth="1"/>
    <col min="2" max="2" width="17.28515625" customWidth="1"/>
    <col min="5" max="5" width="9.42578125" customWidth="1"/>
    <col min="6" max="6" width="16.7109375" customWidth="1"/>
    <col min="7" max="7" width="4.5703125" customWidth="1"/>
    <col min="8" max="8" width="25.7109375" customWidth="1"/>
    <col min="9" max="9" width="11.140625" customWidth="1"/>
    <col min="10" max="10" width="4.42578125" customWidth="1"/>
    <col min="11" max="11" width="10.140625" customWidth="1"/>
    <col min="12" max="12" width="11.7109375" customWidth="1"/>
    <col min="13" max="13" width="16" customWidth="1"/>
    <col min="14" max="14" width="10.42578125" customWidth="1"/>
    <col min="15" max="15" width="12" customWidth="1"/>
    <col min="16" max="16" width="8.28515625" customWidth="1"/>
    <col min="17" max="17" width="10" customWidth="1"/>
    <col min="18" max="18" width="12.42578125" customWidth="1"/>
    <col min="19" max="19" width="12.7109375" customWidth="1"/>
  </cols>
  <sheetData>
    <row r="1" spans="2:18" ht="15.75" thickBot="1" x14ac:dyDescent="0.3">
      <c r="Q1" s="5"/>
      <c r="R1" s="5"/>
    </row>
    <row r="2" spans="2:18" ht="16.5" thickBot="1" x14ac:dyDescent="0.3">
      <c r="B2" s="143" t="s">
        <v>50</v>
      </c>
      <c r="C2" s="147"/>
      <c r="D2" s="147"/>
      <c r="E2" s="147"/>
      <c r="F2" s="147"/>
      <c r="G2" s="147"/>
      <c r="H2" s="147"/>
      <c r="I2" s="146"/>
      <c r="J2" s="58"/>
      <c r="K2" s="58"/>
      <c r="L2" s="143" t="s">
        <v>51</v>
      </c>
      <c r="M2" s="144"/>
      <c r="N2" s="145" t="s">
        <v>52</v>
      </c>
      <c r="O2" s="146"/>
      <c r="P2" s="58"/>
      <c r="Q2" s="9"/>
    </row>
    <row r="3" spans="2:18" ht="29.25" customHeight="1" thickBot="1" x14ac:dyDescent="0.3">
      <c r="B3" s="59" t="s">
        <v>38</v>
      </c>
      <c r="C3" s="60" t="s">
        <v>0</v>
      </c>
      <c r="D3" s="60" t="s">
        <v>1</v>
      </c>
      <c r="E3" s="60" t="s">
        <v>2</v>
      </c>
      <c r="F3" s="61" t="s">
        <v>60</v>
      </c>
      <c r="G3" s="62"/>
      <c r="H3" s="63" t="s">
        <v>61</v>
      </c>
      <c r="I3" s="61" t="s">
        <v>56</v>
      </c>
      <c r="J3" s="58"/>
      <c r="K3" s="58"/>
      <c r="L3" s="64" t="s">
        <v>53</v>
      </c>
      <c r="M3" s="65" t="s">
        <v>54</v>
      </c>
      <c r="N3" s="65" t="s">
        <v>81</v>
      </c>
      <c r="O3" s="66" t="s">
        <v>82</v>
      </c>
      <c r="P3" s="58"/>
      <c r="Q3" s="9"/>
    </row>
    <row r="4" spans="2:18" ht="15.75" x14ac:dyDescent="0.25">
      <c r="B4" s="67" t="s">
        <v>39</v>
      </c>
      <c r="C4" s="68">
        <v>18.303599999999999</v>
      </c>
      <c r="D4" s="68">
        <v>3816.44</v>
      </c>
      <c r="E4" s="68">
        <v>-46.13</v>
      </c>
      <c r="F4" s="54" t="str">
        <f>IFERROR((D4/(C4-LN(Plan1!$D$11))-E4),"")</f>
        <v/>
      </c>
      <c r="G4" s="69"/>
      <c r="H4" s="70" t="str">
        <f>IFERROR(EXP(Plan1!N4-(Plan1!O4/(Plan1!P4+Plan2!$I$8))),"")</f>
        <v/>
      </c>
      <c r="I4" s="71" t="str">
        <f>IFERROR(H4/Plan1!$D$11,"")</f>
        <v/>
      </c>
      <c r="J4" s="72"/>
      <c r="K4" s="73" t="s">
        <v>0</v>
      </c>
      <c r="L4" s="70" t="str">
        <f>IF(Plan1!D4*Plan1!$D$10*Plan1!I4=0,"",Plan1!D4*Plan1!$D$10*Plan1!I4)</f>
        <v/>
      </c>
      <c r="M4" s="74" t="str">
        <f>IFERROR(IF(Plan1!D4*Plan1!$D$10*Plan1!J4="","",Plan1!D4*Plan1!$D$10*Plan1!J4),"")</f>
        <v/>
      </c>
      <c r="N4" s="75" t="str">
        <f>IFERROR(Plan2!L4/Plan1!$H$6,"")</f>
        <v/>
      </c>
      <c r="O4" s="71" t="str">
        <f>IFERROR(Plan2!M4/Plan1!$H$5,"")</f>
        <v/>
      </c>
      <c r="P4" s="58"/>
      <c r="Q4" s="9"/>
    </row>
    <row r="5" spans="2:18" ht="15.75" x14ac:dyDescent="0.25">
      <c r="B5" s="67" t="s">
        <v>19</v>
      </c>
      <c r="C5" s="68">
        <v>15.9008</v>
      </c>
      <c r="D5" s="68">
        <v>2788.51</v>
      </c>
      <c r="E5" s="68">
        <v>-52.36</v>
      </c>
      <c r="F5" s="54" t="str">
        <f>IFERROR((D5/(C5-LN(Plan1!$D$11))-E5),"")</f>
        <v/>
      </c>
      <c r="G5" s="69"/>
      <c r="H5" s="70" t="str">
        <f>IFERROR(EXP(Plan1!N5-(Plan1!O5/(Plan1!P5+Plan2!$I$8))),"")</f>
        <v/>
      </c>
      <c r="I5" s="71" t="str">
        <f>IFERROR(H5/Plan1!$D$11,"")</f>
        <v/>
      </c>
      <c r="J5" s="76"/>
      <c r="K5" s="77" t="s">
        <v>1</v>
      </c>
      <c r="L5" s="70" t="str">
        <f>IFERROR(IF(Plan1!D5*Plan1!$D$10*Plan1!I5="","",Plan1!D5*Plan1!$D$10*Plan1!I5),"")</f>
        <v/>
      </c>
      <c r="M5" s="74" t="str">
        <f>IFERROR(IF(Plan1!D5*Plan1!$D$10*Plan1!J5=0,"",Plan1!D5*Plan1!$D$10*Plan1!J5),"")</f>
        <v/>
      </c>
      <c r="N5" s="75" t="str">
        <f>IFERROR(Plan2!L5/Plan1!$H$6,"")</f>
        <v/>
      </c>
      <c r="O5" s="71" t="str">
        <f>IFERROR(Plan2!M5/Plan1!$H$5,"")</f>
        <v/>
      </c>
      <c r="P5" s="58"/>
      <c r="Q5" s="9"/>
    </row>
    <row r="6" spans="2:18" ht="16.5" thickBot="1" x14ac:dyDescent="0.3">
      <c r="B6" s="67" t="s">
        <v>40</v>
      </c>
      <c r="C6" s="68">
        <v>16.019300000000001</v>
      </c>
      <c r="D6" s="68">
        <v>3328.57</v>
      </c>
      <c r="E6" s="68">
        <v>-63.72</v>
      </c>
      <c r="F6" s="54" t="str">
        <f>IFERROR((D6/(C6-LN(Plan1!$D$11))-E6),"")</f>
        <v/>
      </c>
      <c r="G6" s="69"/>
      <c r="H6" s="78" t="str">
        <f>IFERROR(EXP(Plan1!N6-(Plan1!O6/(Plan1!P6+Plan2!$I$8))),"")</f>
        <v/>
      </c>
      <c r="I6" s="79" t="str">
        <f>IFERROR(H6/Plan1!$D$11,"")</f>
        <v/>
      </c>
      <c r="J6" s="76"/>
      <c r="K6" s="77" t="s">
        <v>2</v>
      </c>
      <c r="L6" s="70" t="str">
        <f>IFERROR(Plan1!D6*Plan1!$D$10*Plan1!I6,"")</f>
        <v/>
      </c>
      <c r="M6" s="74" t="str">
        <f>IFERROR(Plan1!D6*Plan1!$D$10*Plan1!J6,"")</f>
        <v/>
      </c>
      <c r="N6" s="75" t="str">
        <f>IFERROR(Plan2!L6/Plan1!$H$6,"")</f>
        <v/>
      </c>
      <c r="O6" s="71" t="str">
        <f>IFERROR(Plan2!M6/Plan1!$H$5,"")</f>
        <v/>
      </c>
      <c r="P6" s="58"/>
      <c r="Q6" s="9"/>
    </row>
    <row r="7" spans="2:18" ht="16.5" thickBot="1" x14ac:dyDescent="0.3">
      <c r="B7" s="67" t="s">
        <v>41</v>
      </c>
      <c r="C7" s="68">
        <v>18.911899999999999</v>
      </c>
      <c r="D7" s="68">
        <v>3803.98</v>
      </c>
      <c r="E7" s="68">
        <v>-41.68</v>
      </c>
      <c r="F7" s="54" t="str">
        <f>IFERROR((D7/(C7-LN(Plan1!$D$11))-E7),"")</f>
        <v/>
      </c>
      <c r="G7" s="80"/>
      <c r="H7" s="81"/>
      <c r="I7" s="82"/>
      <c r="J7" s="83"/>
      <c r="K7" s="84" t="s">
        <v>55</v>
      </c>
      <c r="L7" s="85">
        <f>SUM(L4:L6)</f>
        <v>0</v>
      </c>
      <c r="M7" s="85">
        <f t="shared" ref="M7:O7" si="0">SUM(M4:M6)</f>
        <v>0</v>
      </c>
      <c r="N7" s="85">
        <f t="shared" si="0"/>
        <v>0</v>
      </c>
      <c r="O7" s="85">
        <f t="shared" si="0"/>
        <v>0</v>
      </c>
      <c r="P7" s="58"/>
    </row>
    <row r="8" spans="2:18" ht="16.5" customHeight="1" thickBot="1" x14ac:dyDescent="0.3">
      <c r="B8" s="67" t="s">
        <v>5</v>
      </c>
      <c r="C8" s="68">
        <v>16.019500000000001</v>
      </c>
      <c r="D8" s="68">
        <v>3279.47</v>
      </c>
      <c r="E8" s="68">
        <v>-59.95</v>
      </c>
      <c r="F8" s="54" t="str">
        <f>IFERROR((D8/(C8-LN(Plan1!$D$11))-E8),"")</f>
        <v/>
      </c>
      <c r="G8" s="69"/>
      <c r="H8" s="86" t="s">
        <v>57</v>
      </c>
      <c r="I8" s="87" t="str">
        <f>IFERROR(Plan1!D4*Plan1!E4+Plan1!D5*Plan1!E5+Plan1!D6*Plan1!E6,"")</f>
        <v/>
      </c>
      <c r="J8" s="58"/>
      <c r="K8" s="58"/>
      <c r="L8" s="58"/>
      <c r="M8" s="58"/>
      <c r="N8" s="58"/>
      <c r="O8" s="58"/>
      <c r="P8" s="58"/>
    </row>
    <row r="9" spans="2:18" ht="16.5" thickBot="1" x14ac:dyDescent="0.3">
      <c r="B9" s="67" t="s">
        <v>42</v>
      </c>
      <c r="C9" s="68">
        <v>15.633800000000001</v>
      </c>
      <c r="D9" s="68">
        <v>2348.67</v>
      </c>
      <c r="E9" s="68">
        <v>-40.049999999999997</v>
      </c>
      <c r="F9" s="54" t="str">
        <f>IFERROR((D9/(C9-LN(Plan1!$D$11))-E9),"")</f>
        <v/>
      </c>
      <c r="G9" s="80"/>
      <c r="H9" s="58"/>
      <c r="I9" s="58"/>
      <c r="J9" s="58"/>
      <c r="K9" s="58"/>
      <c r="L9" s="58"/>
      <c r="M9" s="58"/>
      <c r="N9" s="58"/>
      <c r="O9" s="58"/>
      <c r="P9" s="58"/>
    </row>
    <row r="10" spans="2:18" ht="15.75" customHeight="1" thickBot="1" x14ac:dyDescent="0.3">
      <c r="B10" s="67" t="s">
        <v>17</v>
      </c>
      <c r="C10" s="68">
        <v>15.972200000000001</v>
      </c>
      <c r="D10" s="68">
        <v>3363.6</v>
      </c>
      <c r="E10" s="68">
        <v>-63.37</v>
      </c>
      <c r="F10" s="54" t="str">
        <f>IFERROR((D10/(C10-LN(Plan1!$D$11))-E10),"")</f>
        <v/>
      </c>
      <c r="G10" s="69"/>
      <c r="H10" s="143" t="s">
        <v>80</v>
      </c>
      <c r="I10" s="146"/>
      <c r="J10" s="58"/>
      <c r="K10" s="58"/>
      <c r="L10" s="58"/>
      <c r="M10" s="58"/>
      <c r="N10" s="58"/>
      <c r="O10" s="58"/>
      <c r="P10" s="58"/>
    </row>
    <row r="11" spans="2:18" ht="16.5" thickBot="1" x14ac:dyDescent="0.3">
      <c r="B11" s="67" t="s">
        <v>43</v>
      </c>
      <c r="C11" s="68">
        <v>18.587499999999999</v>
      </c>
      <c r="D11" s="68">
        <v>3626.55</v>
      </c>
      <c r="E11" s="68">
        <v>-34.29</v>
      </c>
      <c r="F11" s="54" t="str">
        <f>IFERROR((D11/(C11-LN(Plan1!$D$11))-E11),"")</f>
        <v/>
      </c>
      <c r="G11" s="69"/>
      <c r="H11" s="88" t="s">
        <v>72</v>
      </c>
      <c r="I11" s="54" t="str">
        <f>IFERROR(IF(Plan1!F10&gt;0,Plan1!F10,I17/I12)*OR(I4/I5),"")</f>
        <v/>
      </c>
      <c r="J11" s="76"/>
      <c r="K11" s="143" t="s">
        <v>64</v>
      </c>
      <c r="L11" s="147"/>
      <c r="M11" s="147"/>
      <c r="N11" s="147"/>
      <c r="O11" s="147"/>
      <c r="P11" s="146"/>
    </row>
    <row r="12" spans="2:18" ht="18" thickBot="1" x14ac:dyDescent="0.3">
      <c r="B12" s="67" t="s">
        <v>44</v>
      </c>
      <c r="C12" s="68">
        <v>15.6782</v>
      </c>
      <c r="D12" s="68">
        <v>2154.9</v>
      </c>
      <c r="E12" s="68">
        <v>-34.42</v>
      </c>
      <c r="F12" s="54" t="str">
        <f>IFERROR((D12/(C12-LN(Plan1!$D$11))-E12),"")</f>
        <v/>
      </c>
      <c r="G12" s="69"/>
      <c r="H12" s="88" t="s">
        <v>71</v>
      </c>
      <c r="I12" s="89">
        <v>0.21</v>
      </c>
      <c r="J12" s="76"/>
      <c r="K12" s="90" t="s">
        <v>3</v>
      </c>
      <c r="L12" s="42"/>
      <c r="M12" s="91" t="s">
        <v>4</v>
      </c>
      <c r="N12" s="42"/>
      <c r="O12" s="91" t="s">
        <v>83</v>
      </c>
      <c r="P12" s="42"/>
    </row>
    <row r="13" spans="2:18" ht="15.75" x14ac:dyDescent="0.25">
      <c r="B13" s="67" t="s">
        <v>45</v>
      </c>
      <c r="C13" s="68">
        <v>15.873699999999999</v>
      </c>
      <c r="D13" s="68">
        <v>2911.32</v>
      </c>
      <c r="E13" s="68">
        <v>-56.51</v>
      </c>
      <c r="F13" s="54" t="str">
        <f>IFERROR((D13/(C13-LN(Plan1!$D$11))-E13),"")</f>
        <v/>
      </c>
      <c r="G13" s="69"/>
      <c r="H13" s="88" t="s">
        <v>70</v>
      </c>
      <c r="I13" s="54" t="str">
        <f>IFERROR(IF(Plan1!F12&gt;0,Plan1!F12,I17/I14)*OR(I5/I6),"")</f>
        <v/>
      </c>
      <c r="J13" s="76"/>
      <c r="K13" s="92" t="s">
        <v>65</v>
      </c>
      <c r="L13" s="93" t="str">
        <f>IF(Plan1!D12="","",1-Plan1!D12)</f>
        <v/>
      </c>
      <c r="M13" s="92" t="s">
        <v>62</v>
      </c>
      <c r="N13" s="93" t="str">
        <f>IFERROR((Plan2!N12-Plan1!I10)/(Plan2!N12+1),"")</f>
        <v/>
      </c>
      <c r="O13" s="92" t="s">
        <v>62</v>
      </c>
      <c r="P13" s="94" t="str">
        <f>IFERROR((P12-1)/(N12-P12),"")</f>
        <v/>
      </c>
    </row>
    <row r="14" spans="2:18" ht="15.75" x14ac:dyDescent="0.25">
      <c r="B14" s="67" t="s">
        <v>46</v>
      </c>
      <c r="C14" s="68">
        <v>15.836600000000001</v>
      </c>
      <c r="D14" s="68">
        <v>2697.55</v>
      </c>
      <c r="E14" s="68">
        <v>-48.78</v>
      </c>
      <c r="F14" s="54" t="str">
        <f>IFERROR((D14/(C14-LN(Plan1!$D$11))-E14),"")</f>
        <v/>
      </c>
      <c r="G14" s="69"/>
      <c r="H14" s="88" t="s">
        <v>67</v>
      </c>
      <c r="I14" s="54" t="str">
        <f>IFERROR(IF(Plan1!F13&gt;0,Plan1!F13,I15/I12)*OR(I6/I5),"")</f>
        <v/>
      </c>
      <c r="J14" s="83"/>
      <c r="K14" s="92" t="s">
        <v>63</v>
      </c>
      <c r="L14" s="74" t="str">
        <f>IFERROR(((Plan2!I11*Plan1!D4)/(Plan2!I11-Plan2!L12))+((Plan2!I17*Plan1!D5)/(Plan2!I17-Plan2!L12))+((Plan2!I14*Plan1!D6)/(Plan2!I14-Plan2!L12)),"")</f>
        <v/>
      </c>
      <c r="M14" s="92" t="s">
        <v>63</v>
      </c>
      <c r="N14" s="74" t="str">
        <f>IFERROR(0.75-(0.75*((Plan1!I13-Plan1!I12)/(Plan1!I13+1))^0.5668),"")</f>
        <v/>
      </c>
      <c r="O14" s="92" t="s">
        <v>63</v>
      </c>
      <c r="P14" s="54" t="str">
        <f>IFERROR(((Plan1!D5/Plan1!D4)*((Plan2!O4/Plan2!N5)^2)*(Plan1!H5/Plan1!H6))^0.206,"")</f>
        <v/>
      </c>
    </row>
    <row r="15" spans="2:18" ht="16.5" thickBot="1" x14ac:dyDescent="0.3">
      <c r="B15" s="67" t="s">
        <v>47</v>
      </c>
      <c r="C15" s="68">
        <v>15.942600000000001</v>
      </c>
      <c r="D15" s="68">
        <v>3120.29</v>
      </c>
      <c r="E15" s="68">
        <v>-63.63</v>
      </c>
      <c r="F15" s="54" t="str">
        <f>IFERROR((D15/(C15-LN(Plan1!$D$11))-E15),"")</f>
        <v/>
      </c>
      <c r="G15" s="69"/>
      <c r="H15" s="88" t="s">
        <v>68</v>
      </c>
      <c r="I15" s="89">
        <v>2.25</v>
      </c>
      <c r="J15" s="83"/>
      <c r="K15" s="95" t="s">
        <v>66</v>
      </c>
      <c r="L15" s="96" t="str">
        <f>IFERROR(L13-L14,"")</f>
        <v/>
      </c>
      <c r="M15" s="95" t="s">
        <v>66</v>
      </c>
      <c r="N15" s="96" t="str">
        <f>IFERROR(N13-N14,"")</f>
        <v/>
      </c>
      <c r="O15" s="95" t="s">
        <v>66</v>
      </c>
      <c r="P15" s="56" t="str">
        <f>IFERROR(P13-P14,"")</f>
        <v/>
      </c>
    </row>
    <row r="16" spans="2:18" ht="15.75" x14ac:dyDescent="0.25">
      <c r="B16" s="67" t="s">
        <v>48</v>
      </c>
      <c r="C16" s="68">
        <v>15.833299999999999</v>
      </c>
      <c r="D16" s="68">
        <v>2477.0700000000002</v>
      </c>
      <c r="E16" s="68">
        <v>-39.94</v>
      </c>
      <c r="F16" s="54" t="str">
        <f>IFERROR((D16/(C16-LN(Plan1!$D$11))-E16),"")</f>
        <v/>
      </c>
      <c r="G16" s="69"/>
      <c r="H16" s="88" t="s">
        <v>69</v>
      </c>
      <c r="I16" s="54" t="str">
        <f>IFERROR(IF(Plan1!F14&gt;0,Plan1!F14,I17/I15)*OR(I4/I6),"")</f>
        <v/>
      </c>
      <c r="J16" s="97"/>
      <c r="K16" s="58"/>
      <c r="L16" s="58"/>
      <c r="M16" s="58"/>
      <c r="N16" s="58"/>
      <c r="O16" s="58"/>
      <c r="P16" s="58"/>
    </row>
    <row r="17" spans="2:16" ht="16.5" thickBot="1" x14ac:dyDescent="0.3">
      <c r="B17" s="67" t="s">
        <v>15</v>
      </c>
      <c r="C17" s="68">
        <v>16.0137</v>
      </c>
      <c r="D17" s="68">
        <v>3096.52</v>
      </c>
      <c r="E17" s="68">
        <v>-53.67</v>
      </c>
      <c r="F17" s="54" t="str">
        <f>IFERROR((D17/(C17-LN(Plan1!$D$11))-E17),"")</f>
        <v/>
      </c>
      <c r="G17" s="69"/>
      <c r="H17" s="88" t="s">
        <v>13</v>
      </c>
      <c r="I17" s="98">
        <v>1</v>
      </c>
      <c r="J17" s="83"/>
      <c r="K17" s="99"/>
      <c r="L17" s="99"/>
      <c r="M17" s="99"/>
      <c r="N17" s="99"/>
      <c r="O17" s="99"/>
      <c r="P17" s="99"/>
    </row>
    <row r="18" spans="2:16" ht="16.5" thickBot="1" x14ac:dyDescent="0.3">
      <c r="B18" s="100" t="s">
        <v>49</v>
      </c>
      <c r="C18" s="101">
        <v>16.096299999999999</v>
      </c>
      <c r="D18" s="101">
        <v>3346.65</v>
      </c>
      <c r="E18" s="101">
        <v>-57.84</v>
      </c>
      <c r="F18" s="56" t="str">
        <f>IFERROR((D18/(C18-LN(Plan1!$D$11))-E18),"")</f>
        <v/>
      </c>
      <c r="G18" s="80"/>
      <c r="H18" s="58"/>
      <c r="I18" s="58"/>
      <c r="J18" s="102"/>
      <c r="K18" s="103"/>
      <c r="L18" s="104"/>
      <c r="M18" s="103"/>
      <c r="N18" s="104"/>
      <c r="O18" s="103"/>
      <c r="P18" s="104"/>
    </row>
    <row r="19" spans="2:16" x14ac:dyDescent="0.25">
      <c r="K19" s="3"/>
      <c r="L19" s="6"/>
      <c r="M19" s="3"/>
      <c r="N19" s="3"/>
      <c r="O19" s="3"/>
      <c r="P19" s="2"/>
    </row>
    <row r="20" spans="2:16" x14ac:dyDescent="0.25">
      <c r="K20" s="3"/>
      <c r="L20" s="7"/>
      <c r="M20" s="3"/>
      <c r="N20" s="3"/>
      <c r="O20" s="3"/>
      <c r="P20" s="8"/>
    </row>
    <row r="21" spans="2:16" x14ac:dyDescent="0.25">
      <c r="K21" s="3"/>
      <c r="L21" s="4"/>
      <c r="M21" s="3"/>
      <c r="N21" s="4"/>
      <c r="O21" s="3"/>
      <c r="P21" s="4"/>
    </row>
    <row r="22" spans="2:16" x14ac:dyDescent="0.25">
      <c r="K22" s="5"/>
      <c r="L22" s="5"/>
      <c r="M22" s="5"/>
      <c r="N22" s="5"/>
      <c r="O22" s="5"/>
      <c r="P22" s="5"/>
    </row>
  </sheetData>
  <sortState ref="B4:B18">
    <sortCondition ref="B3:B17"/>
  </sortState>
  <mergeCells count="5">
    <mergeCell ref="L2:M2"/>
    <mergeCell ref="N2:O2"/>
    <mergeCell ref="K11:P11"/>
    <mergeCell ref="B2:I2"/>
    <mergeCell ref="H10:I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HOME SECTION</vt:lpstr>
      <vt:lpstr>Plan1</vt:lpstr>
      <vt:lpstr>Plan2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Camila</cp:lastModifiedBy>
  <cp:lastPrinted>2024-02-21T21:29:00Z</cp:lastPrinted>
  <dcterms:created xsi:type="dcterms:W3CDTF">2020-09-17T00:42:59Z</dcterms:created>
  <dcterms:modified xsi:type="dcterms:W3CDTF">2024-04-21T14:32:30Z</dcterms:modified>
</cp:coreProperties>
</file>